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30" i="2"/>
  <c r="O30" i="6"/>
  <c r="J30" i="6"/>
  <c r="D30" i="6"/>
  <c r="N30" i="6"/>
  <c r="M30" i="6"/>
  <c r="H30" i="6"/>
  <c r="E30" i="6"/>
  <c r="F30" i="6"/>
  <c r="G30" i="6"/>
  <c r="I30" i="6"/>
  <c r="K30" i="6"/>
  <c r="L30" i="6"/>
  <c r="O26" i="6"/>
  <c r="E26" i="6"/>
  <c r="F26" i="6"/>
  <c r="G26" i="6"/>
  <c r="H26" i="6"/>
  <c r="I26" i="6"/>
  <c r="J26" i="6"/>
  <c r="K26" i="6"/>
  <c r="L26" i="6"/>
  <c r="M26" i="6"/>
  <c r="N26" i="6"/>
  <c r="D26" i="6"/>
  <c r="O7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D11" i="6"/>
  <c r="M9" i="6"/>
  <c r="I9" i="6"/>
  <c r="E9" i="6"/>
  <c r="F7" i="6"/>
  <c r="L7" i="6"/>
  <c r="H7" i="6"/>
  <c r="E7" i="6"/>
  <c r="N7" i="6"/>
  <c r="K7" i="6"/>
  <c r="M7" i="6"/>
  <c r="D7" i="6"/>
  <c r="G7" i="6"/>
  <c r="I7" i="6"/>
  <c r="J7" i="6"/>
  <c r="H41" i="5" l="1"/>
  <c r="H25" i="5" l="1"/>
  <c r="H30" i="5" l="1"/>
  <c r="H20" i="5" l="1"/>
  <c r="H15" i="5"/>
  <c r="E37" i="6" l="1"/>
  <c r="F21" i="6" l="1"/>
  <c r="D37" i="6" l="1"/>
  <c r="F37" i="6"/>
  <c r="W39" i="2" l="1"/>
  <c r="Y39" i="2"/>
  <c r="C41" i="2"/>
  <c r="AB41" i="2" s="1"/>
  <c r="G21" i="2"/>
  <c r="G39" i="2" s="1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I39" i="2" s="1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AA39" i="2" l="1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<sst xmlns="http://schemas.openxmlformats.org/spreadsheetml/2006/main" count="189" uniqueCount="105">
  <si>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</si>
  <si>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</si>
  <si>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</si>
  <si>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</si>
  <si>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</si>
  <si>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</si>
  <si>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</si>
  <si>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</si>
  <si>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</si>
  <si>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</si>
  <si>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</si>
  <si>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</si>
  <si>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</si>
  <si>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</si>
  <si>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</si>
  <si>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</si>
  <si>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</si>
  <si>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</si>
  <si>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</si>
  <si>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</si>
  <si>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</si>
  <si>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</si>
  <si>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</si>
  <si>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</si>
  <si>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</si>
  <si>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</si>
  <si>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</si>
  <si>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</si>
  <si>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</si>
  <si>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</si>
  <si>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</si>
  <si>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</si>
  <si>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</si>
  <si>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</si>
  <si>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</si>
  <si>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</si>
  <si>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</si>
  <si>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</si>
  <si>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</si>
  <si>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</si>
  <si>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</si>
  <si>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</si>
  <si>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</si>
  <si>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</si>
  <si>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</si>
  <si>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</si>
  <si>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</si>
  <si>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</si>
  <si>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</si>
  <si>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</si>
  <si>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</si>
  <si>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</si>
  <si>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</si>
  <si>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</si>
  <si>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</si>
  <si>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</si>
  <si>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</si>
  <si>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</si>
  <si>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</si>
  <si>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</si>
  <si>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</si>
  <si>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</si>
  <si>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</si>
  <si>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</si>
  <si>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</si>
  <si>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</si>
  <si>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</si>
  <si>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</si>
  <si>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</si>
  <si>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</si>
  <si>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</si>
  <si>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</si>
  <si>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</si>
  <si>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</si>
  <si>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 xml:space="preserve">All other 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</si>
  <si>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</si>
  <si>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</si>
  <si>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</si>
  <si>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</si>
  <si>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</si>
  <si>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</si>
  <si>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</si>
  <si>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</si>
  <si>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Recovery Grant</t>
  </si>
  <si>
    <t xml:space="preserve">Distribution of Expenditure </t>
  </si>
  <si>
    <t>Staffing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</si>
  <si>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</si>
  <si>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Supplementary Grant</t>
  </si>
  <si>
    <t>School Led tuition Grant</t>
  </si>
  <si>
    <t>SSI Grant</t>
  </si>
  <si>
    <t>11 x £11k + Aug £9k</t>
  </si>
  <si>
    <t>Oct £43k, Feb £43k, June £43K</t>
  </si>
  <si>
    <t>£3254 X12</t>
  </si>
  <si>
    <t>£547,548 x12</t>
  </si>
  <si>
    <t>Nov £49k, May £29k</t>
  </si>
  <si>
    <t>£157,913 x12</t>
  </si>
  <si>
    <t>Sept £14,889 Apr £10,635</t>
  </si>
  <si>
    <t>Nov £126,101 June £90,072</t>
  </si>
  <si>
    <t>Oct Jan May £10,530</t>
  </si>
  <si>
    <t>Oct Jan Apr Jul £13,110</t>
  </si>
  <si>
    <t>£629,835 x12</t>
  </si>
  <si>
    <t>Oct £30k Jan 95k Jun £15k Jul £10k</t>
  </si>
  <si>
    <t>£148,978 x12</t>
  </si>
  <si>
    <t>Oct, Jan, Apr, Jul £44,817</t>
  </si>
  <si>
    <t>Sep 10,904 Mar 10904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</si>
</sst>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41" sqref="P4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86</v>
      </c>
      <c r="C7" s="94">
        <v>9117671</v>
      </c>
      <c r="D7" s="95">
        <f>547548+157913+44817+14889</f>
        <v>765167</v>
      </c>
      <c r="E7" s="95">
        <f>547548+157913+13110+10530</f>
        <v>729101</v>
      </c>
      <c r="F7" s="95">
        <f>547548+157913+49000+126101+3814</f>
        <v>884376</v>
      </c>
      <c r="G7" s="95">
        <f t="shared" ref="E7:O7" si="0">547548+157913</f>
        <v>705461</v>
      </c>
      <c r="H7" s="95">
        <f>547548+157913+44817+13110+10530</f>
        <v>773918</v>
      </c>
      <c r="I7" s="95">
        <f t="shared" si="0"/>
        <v>705461</v>
      </c>
      <c r="J7" s="95">
        <f t="shared" si="0"/>
        <v>705461</v>
      </c>
      <c r="K7" s="95">
        <f>547548+157913+44817+10635+13110</f>
        <v>774023</v>
      </c>
      <c r="L7" s="95">
        <f>547548+157913+29000+34000+10530</f>
        <v>778991</v>
      </c>
      <c r="M7" s="95">
        <f>547548+157913+90072</f>
        <v>795533</v>
      </c>
      <c r="N7" s="95">
        <f>547548+157913+44817+30117+13110</f>
        <v>793505</v>
      </c>
      <c r="O7" s="95">
        <f>547548+157913+1213</f>
        <v>706674</v>
      </c>
      <c r="P7" s="100">
        <f>SUM(D7:O7)</f>
        <v>9117671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129000</v>
      </c>
      <c r="D9" s="89"/>
      <c r="E9" s="90">
        <f>43000</f>
        <v>43000</v>
      </c>
      <c r="F9" s="90"/>
      <c r="G9" s="90"/>
      <c r="H9" s="90"/>
      <c r="I9" s="90">
        <f>43000</f>
        <v>43000</v>
      </c>
      <c r="J9" s="90"/>
      <c r="K9" s="90"/>
      <c r="L9" s="90"/>
      <c r="M9" s="90">
        <f>43000</f>
        <v>43000</v>
      </c>
      <c r="N9" s="90"/>
      <c r="O9" s="91"/>
      <c r="P9" s="93">
        <f>SUM(D9:O9)</f>
        <v>129000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130000</v>
      </c>
      <c r="D11" s="89">
        <f>11000</f>
        <v>11000</v>
      </c>
      <c r="E11" s="89">
        <f>11000</f>
        <v>11000</v>
      </c>
      <c r="F11" s="89">
        <f>11000</f>
        <v>11000</v>
      </c>
      <c r="G11" s="89">
        <f>11000</f>
        <v>11000</v>
      </c>
      <c r="H11" s="89">
        <f>11000</f>
        <v>11000</v>
      </c>
      <c r="I11" s="89">
        <f>11000</f>
        <v>11000</v>
      </c>
      <c r="J11" s="89">
        <f>11000</f>
        <v>11000</v>
      </c>
      <c r="K11" s="89">
        <f>11000</f>
        <v>11000</v>
      </c>
      <c r="L11" s="89">
        <f>11000</f>
        <v>11000</v>
      </c>
      <c r="M11" s="89">
        <f>11000</f>
        <v>11000</v>
      </c>
      <c r="N11" s="89">
        <f>11000</f>
        <v>11000</v>
      </c>
      <c r="O11" s="89">
        <f>9000</f>
        <v>9000</v>
      </c>
      <c r="P11" s="93">
        <f>SUM(D11:O11)</f>
        <v>130000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39050</v>
      </c>
      <c r="D15" s="89">
        <f>3254</f>
        <v>3254</v>
      </c>
      <c r="E15" s="89">
        <f>3254</f>
        <v>3254</v>
      </c>
      <c r="F15" s="89">
        <f>3254</f>
        <v>3254</v>
      </c>
      <c r="G15" s="89">
        <f>3254</f>
        <v>3254</v>
      </c>
      <c r="H15" s="89">
        <f>3254</f>
        <v>3254</v>
      </c>
      <c r="I15" s="89">
        <f>3254</f>
        <v>3254</v>
      </c>
      <c r="J15" s="89">
        <f>3254</f>
        <v>3254</v>
      </c>
      <c r="K15" s="89">
        <f>3254</f>
        <v>3254</v>
      </c>
      <c r="L15" s="89">
        <f>3254</f>
        <v>3254</v>
      </c>
      <c r="M15" s="89">
        <f>3254</f>
        <v>3254</v>
      </c>
      <c r="N15" s="89">
        <f>3254</f>
        <v>3254</v>
      </c>
      <c r="O15" s="89">
        <f>3256</f>
        <v>3256</v>
      </c>
      <c r="P15" s="93">
        <f>SUM(D15:O15)</f>
        <v>39050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0</v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9415721</v>
      </c>
      <c r="D21" s="74">
        <f t="shared" ref="D21:O21" si="1">SUM(D7:D20)</f>
        <v>779421</v>
      </c>
      <c r="E21" s="74">
        <f t="shared" si="1"/>
        <v>786355</v>
      </c>
      <c r="F21" s="74">
        <f t="shared" si="1"/>
        <v>898630</v>
      </c>
      <c r="G21" s="74">
        <f t="shared" si="1"/>
        <v>719715</v>
      </c>
      <c r="H21" s="74">
        <f t="shared" si="1"/>
        <v>788172</v>
      </c>
      <c r="I21" s="74">
        <f t="shared" si="1"/>
        <v>762715</v>
      </c>
      <c r="J21" s="74">
        <f t="shared" si="1"/>
        <v>719715</v>
      </c>
      <c r="K21" s="74">
        <f t="shared" si="1"/>
        <v>788277</v>
      </c>
      <c r="L21" s="74">
        <f t="shared" si="1"/>
        <v>793245</v>
      </c>
      <c r="M21" s="74">
        <f t="shared" si="1"/>
        <v>852787</v>
      </c>
      <c r="N21" s="74">
        <f t="shared" si="1"/>
        <v>807759</v>
      </c>
      <c r="O21" s="75">
        <f t="shared" si="1"/>
        <v>718930</v>
      </c>
      <c r="P21" s="73">
        <f>SUM(D21:O21)</f>
        <v>9415721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6">
        <v>7558030</v>
      </c>
      <c r="D26" s="87">
        <f>629835</f>
        <v>629835</v>
      </c>
      <c r="E26" s="87">
        <f t="shared" ref="E26:O26" si="2">629835</f>
        <v>629835</v>
      </c>
      <c r="F26" s="87">
        <f t="shared" si="2"/>
        <v>629835</v>
      </c>
      <c r="G26" s="87">
        <f t="shared" si="2"/>
        <v>629835</v>
      </c>
      <c r="H26" s="87">
        <f t="shared" si="2"/>
        <v>629835</v>
      </c>
      <c r="I26" s="87">
        <f t="shared" si="2"/>
        <v>629835</v>
      </c>
      <c r="J26" s="87">
        <f t="shared" si="2"/>
        <v>629835</v>
      </c>
      <c r="K26" s="87">
        <f t="shared" si="2"/>
        <v>629835</v>
      </c>
      <c r="L26" s="87">
        <f t="shared" si="2"/>
        <v>629835</v>
      </c>
      <c r="M26" s="87">
        <f t="shared" si="2"/>
        <v>629835</v>
      </c>
      <c r="N26" s="87">
        <f t="shared" si="2"/>
        <v>629835</v>
      </c>
      <c r="O26" s="87">
        <f>629845</f>
        <v>629845</v>
      </c>
      <c r="P26" s="92">
        <f>SUM(D26:O26)</f>
        <v>7558030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1994554</v>
      </c>
      <c r="D30" s="89">
        <f>148978+10904</f>
        <v>159882</v>
      </c>
      <c r="E30" s="89">
        <f>148978+35000+30000</f>
        <v>213978</v>
      </c>
      <c r="F30" s="89">
        <f t="shared" ref="E30:O30" si="3">148978</f>
        <v>148978</v>
      </c>
      <c r="G30" s="89">
        <f t="shared" si="3"/>
        <v>148978</v>
      </c>
      <c r="H30" s="89">
        <f>148978+95000</f>
        <v>243978</v>
      </c>
      <c r="I30" s="89">
        <f t="shared" si="3"/>
        <v>148978</v>
      </c>
      <c r="J30" s="89">
        <f>148978+10904</f>
        <v>159882</v>
      </c>
      <c r="K30" s="89">
        <f t="shared" si="3"/>
        <v>148978</v>
      </c>
      <c r="L30" s="89">
        <f t="shared" si="3"/>
        <v>148978</v>
      </c>
      <c r="M30" s="89">
        <f>148978+15000</f>
        <v>163978</v>
      </c>
      <c r="N30" s="89">
        <f>148978+10000</f>
        <v>158978</v>
      </c>
      <c r="O30" s="89">
        <f>148988</f>
        <v>148988</v>
      </c>
      <c r="P30" s="92">
        <f>SUM(D30:O30)</f>
        <v>1994554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79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79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12467</v>
      </c>
      <c r="D35" s="89">
        <v>12467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12467</v>
      </c>
      <c r="Q35" s="136"/>
      <c r="R35" s="1"/>
    </row>
    <row r="36" spans="1:18" ht="15.75" thickBot="1" x14ac:dyDescent="0.25">
      <c r="A36" s="1"/>
      <c r="B36" s="7" t="s">
        <v>26</v>
      </c>
      <c r="C36" s="88">
        <v>130594</v>
      </c>
      <c r="D36" s="89">
        <v>130594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130594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9695645</v>
      </c>
      <c r="D37" s="78">
        <f t="shared" ref="D37:O37" si="4">SUM(D26:D36)</f>
        <v>932778</v>
      </c>
      <c r="E37" s="78">
        <f t="shared" si="4"/>
        <v>843813</v>
      </c>
      <c r="F37" s="78">
        <f t="shared" si="4"/>
        <v>778813</v>
      </c>
      <c r="G37" s="78">
        <f t="shared" si="4"/>
        <v>778813</v>
      </c>
      <c r="H37" s="78">
        <f t="shared" si="4"/>
        <v>873813</v>
      </c>
      <c r="I37" s="78">
        <f t="shared" si="4"/>
        <v>778813</v>
      </c>
      <c r="J37" s="78">
        <f t="shared" si="4"/>
        <v>789717</v>
      </c>
      <c r="K37" s="78">
        <f t="shared" si="4"/>
        <v>778813</v>
      </c>
      <c r="L37" s="78">
        <f t="shared" si="4"/>
        <v>778813</v>
      </c>
      <c r="M37" s="78">
        <f t="shared" si="4"/>
        <v>793813</v>
      </c>
      <c r="N37" s="78">
        <f t="shared" si="4"/>
        <v>788813</v>
      </c>
      <c r="O37" s="79">
        <f t="shared" si="4"/>
        <v>778833</v>
      </c>
      <c r="P37" s="77">
        <f>SUM(D37:O37)</f>
        <v>9695645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-279924</v>
      </c>
      <c r="D39" s="77">
        <f>D21-D37</f>
        <v>-153357</v>
      </c>
      <c r="E39" s="77">
        <f t="shared" ref="E39:P39" si="5">E21-E37</f>
        <v>-57458</v>
      </c>
      <c r="F39" s="77">
        <f t="shared" si="5"/>
        <v>119817</v>
      </c>
      <c r="G39" s="77">
        <f t="shared" si="5"/>
        <v>-59098</v>
      </c>
      <c r="H39" s="77">
        <f t="shared" si="5"/>
        <v>-85641</v>
      </c>
      <c r="I39" s="77">
        <f t="shared" si="5"/>
        <v>-16098</v>
      </c>
      <c r="J39" s="77">
        <f t="shared" si="5"/>
        <v>-70002</v>
      </c>
      <c r="K39" s="77">
        <f t="shared" si="5"/>
        <v>9464</v>
      </c>
      <c r="L39" s="77">
        <f t="shared" si="5"/>
        <v>14432</v>
      </c>
      <c r="M39" s="77">
        <f t="shared" si="5"/>
        <v>58974</v>
      </c>
      <c r="N39" s="77">
        <f t="shared" si="5"/>
        <v>18946</v>
      </c>
      <c r="O39" s="77">
        <f t="shared" si="5"/>
        <v>-59903</v>
      </c>
      <c r="P39" s="77">
        <f t="shared" si="5"/>
        <v>-279924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783792</v>
      </c>
      <c r="D41" s="78">
        <f>C41</f>
        <v>783792</v>
      </c>
      <c r="E41" s="85">
        <f>D41+D39</f>
        <v>630435</v>
      </c>
      <c r="F41" s="85">
        <f t="shared" ref="F41:O41" si="6">E41+E39</f>
        <v>572977</v>
      </c>
      <c r="G41" s="85">
        <f t="shared" si="6"/>
        <v>692794</v>
      </c>
      <c r="H41" s="85">
        <f t="shared" si="6"/>
        <v>633696</v>
      </c>
      <c r="I41" s="85">
        <f t="shared" si="6"/>
        <v>548055</v>
      </c>
      <c r="J41" s="85">
        <f t="shared" si="6"/>
        <v>531957</v>
      </c>
      <c r="K41" s="85">
        <f t="shared" si="6"/>
        <v>461955</v>
      </c>
      <c r="L41" s="85">
        <f t="shared" si="6"/>
        <v>471419</v>
      </c>
      <c r="M41" s="85">
        <f t="shared" si="6"/>
        <v>485851</v>
      </c>
      <c r="N41" s="85">
        <f t="shared" si="6"/>
        <v>544825</v>
      </c>
      <c r="O41" s="85">
        <f t="shared" si="6"/>
        <v>563771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503868</v>
      </c>
      <c r="D43" s="77">
        <f t="shared" ref="D43:O43" si="7">D41+D39</f>
        <v>630435</v>
      </c>
      <c r="E43" s="77">
        <f t="shared" si="7"/>
        <v>572977</v>
      </c>
      <c r="F43" s="77">
        <f t="shared" si="7"/>
        <v>692794</v>
      </c>
      <c r="G43" s="77">
        <f t="shared" si="7"/>
        <v>633696</v>
      </c>
      <c r="H43" s="77">
        <f t="shared" si="7"/>
        <v>548055</v>
      </c>
      <c r="I43" s="77">
        <f t="shared" si="7"/>
        <v>531957</v>
      </c>
      <c r="J43" s="77">
        <f t="shared" si="7"/>
        <v>461955</v>
      </c>
      <c r="K43" s="77">
        <f t="shared" si="7"/>
        <v>471419</v>
      </c>
      <c r="L43" s="77">
        <f t="shared" si="7"/>
        <v>485851</v>
      </c>
      <c r="M43" s="77">
        <f t="shared" si="7"/>
        <v>544825</v>
      </c>
      <c r="N43" s="77">
        <f t="shared" si="7"/>
        <v>563771</v>
      </c>
      <c r="O43" s="77">
        <f t="shared" si="7"/>
        <v>503868</v>
      </c>
      <c r="P43" s="77">
        <f>O43</f>
        <v>503868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E16" sqref="E16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6" t="s">
        <v>81</v>
      </c>
      <c r="C2" s="20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3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8" t="s">
        <v>60</v>
      </c>
      <c r="C7" s="58">
        <f>'Forecast - Current'!C7</f>
        <v>9117671</v>
      </c>
      <c r="D7" s="122">
        <f>'Forecast - Current'!D7</f>
        <v>765167</v>
      </c>
      <c r="E7" s="102">
        <v>711534</v>
      </c>
      <c r="F7" s="125">
        <f>'Forecast - Current'!E7</f>
        <v>729101</v>
      </c>
      <c r="G7" s="102"/>
      <c r="H7" s="125">
        <f>'Forecast - Current'!F7</f>
        <v>884376</v>
      </c>
      <c r="I7" s="102"/>
      <c r="J7" s="125">
        <f>'Forecast - Current'!G7</f>
        <v>705461</v>
      </c>
      <c r="K7" s="102"/>
      <c r="L7" s="125">
        <f>'Forecast - Current'!H7</f>
        <v>773918</v>
      </c>
      <c r="M7" s="102"/>
      <c r="N7" s="125">
        <f>'Forecast - Current'!I7</f>
        <v>705461</v>
      </c>
      <c r="O7" s="102"/>
      <c r="P7" s="125">
        <f>'Forecast - Current'!J7</f>
        <v>705461</v>
      </c>
      <c r="Q7" s="102"/>
      <c r="R7" s="125">
        <f>'Forecast - Current'!K7</f>
        <v>774023</v>
      </c>
      <c r="S7" s="102"/>
      <c r="T7" s="125">
        <f>'Forecast - Current'!L7</f>
        <v>778991</v>
      </c>
      <c r="U7" s="102"/>
      <c r="V7" s="125">
        <f>'Forecast - Current'!M7</f>
        <v>795533</v>
      </c>
      <c r="W7" s="102"/>
      <c r="X7" s="125">
        <f>'Forecast - Current'!N7</f>
        <v>793505</v>
      </c>
      <c r="Y7" s="102"/>
      <c r="Z7" s="125">
        <f>'Forecast - Current'!O7</f>
        <v>706674</v>
      </c>
      <c r="AA7" s="103"/>
      <c r="AB7" s="119">
        <f>E7+G7+I7+K7+M7+O7+Q7+S7+U7+W7+Y7+AA7</f>
        <v>711534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129000</v>
      </c>
      <c r="D9" s="123">
        <f>'Forecast - Current'!D9</f>
        <v>0</v>
      </c>
      <c r="E9" s="104">
        <v>990</v>
      </c>
      <c r="F9" s="126">
        <f>'Forecast - Current'!E9</f>
        <v>43000</v>
      </c>
      <c r="G9" s="104"/>
      <c r="H9" s="126">
        <f>'Forecast - Current'!F9</f>
        <v>0</v>
      </c>
      <c r="I9" s="104"/>
      <c r="J9" s="126">
        <f>'Forecast - Current'!G9</f>
        <v>0</v>
      </c>
      <c r="K9" s="104"/>
      <c r="L9" s="126">
        <f>'Forecast - Current'!H9</f>
        <v>0</v>
      </c>
      <c r="M9" s="104"/>
      <c r="N9" s="126">
        <f>'Forecast - Current'!I9</f>
        <v>43000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43000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990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130000</v>
      </c>
      <c r="D11" s="123">
        <f>'Forecast - Current'!D11</f>
        <v>11000</v>
      </c>
      <c r="E11" s="104">
        <v>13607</v>
      </c>
      <c r="F11" s="126">
        <f>'Forecast - Current'!E11</f>
        <v>11000</v>
      </c>
      <c r="G11" s="104"/>
      <c r="H11" s="126">
        <f>'Forecast - Current'!F11</f>
        <v>11000</v>
      </c>
      <c r="I11" s="104"/>
      <c r="J11" s="126">
        <f>'Forecast - Current'!G11</f>
        <v>11000</v>
      </c>
      <c r="K11" s="104"/>
      <c r="L11" s="126">
        <f>'Forecast - Current'!H11</f>
        <v>11000</v>
      </c>
      <c r="M11" s="104"/>
      <c r="N11" s="126">
        <f>'Forecast - Current'!I11</f>
        <v>11000</v>
      </c>
      <c r="O11" s="104"/>
      <c r="P11" s="126">
        <f>'Forecast - Current'!J11</f>
        <v>11000</v>
      </c>
      <c r="Q11" s="104"/>
      <c r="R11" s="126">
        <f>'Forecast - Current'!K11</f>
        <v>11000</v>
      </c>
      <c r="S11" s="104"/>
      <c r="T11" s="126">
        <f>'Forecast - Current'!L11</f>
        <v>11000</v>
      </c>
      <c r="U11" s="104"/>
      <c r="V11" s="126">
        <f>'Forecast - Current'!M11</f>
        <v>11000</v>
      </c>
      <c r="W11" s="104"/>
      <c r="X11" s="126">
        <f>'Forecast - Current'!N11</f>
        <v>11000</v>
      </c>
      <c r="Y11" s="104"/>
      <c r="Z11" s="126">
        <f>'Forecast - Current'!O11</f>
        <v>9000</v>
      </c>
      <c r="AA11" s="105"/>
      <c r="AB11" s="120">
        <f t="shared" si="0"/>
        <v>13607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21522</v>
      </c>
      <c r="F13" s="126">
        <f>'Forecast - Current'!E13</f>
        <v>0</v>
      </c>
      <c r="G13" s="104"/>
      <c r="H13" s="126">
        <f>'Forecast - Current'!F13</f>
        <v>0</v>
      </c>
      <c r="I13" s="104"/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21522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39050</v>
      </c>
      <c r="D15" s="123">
        <f>'Forecast - Current'!D15</f>
        <v>3254</v>
      </c>
      <c r="E15" s="104">
        <f>26628+2</f>
        <v>26630</v>
      </c>
      <c r="F15" s="126">
        <f>'Forecast - Current'!E15</f>
        <v>3254</v>
      </c>
      <c r="G15" s="104"/>
      <c r="H15" s="126">
        <f>'Forecast - Current'!F15</f>
        <v>3254</v>
      </c>
      <c r="I15" s="104"/>
      <c r="J15" s="126">
        <f>'Forecast - Current'!G15</f>
        <v>3254</v>
      </c>
      <c r="K15" s="104"/>
      <c r="L15" s="126">
        <f>'Forecast - Current'!H15</f>
        <v>3254</v>
      </c>
      <c r="M15" s="104"/>
      <c r="N15" s="126">
        <f>'Forecast - Current'!I15</f>
        <v>3254</v>
      </c>
      <c r="O15" s="104"/>
      <c r="P15" s="126">
        <f>'Forecast - Current'!J15</f>
        <v>3254</v>
      </c>
      <c r="Q15" s="104"/>
      <c r="R15" s="126">
        <f>'Forecast - Current'!K15</f>
        <v>3254</v>
      </c>
      <c r="S15" s="104"/>
      <c r="T15" s="126">
        <f>'Forecast - Current'!L15</f>
        <v>3254</v>
      </c>
      <c r="U15" s="104"/>
      <c r="V15" s="126">
        <f>'Forecast - Current'!M15</f>
        <v>3254</v>
      </c>
      <c r="W15" s="104"/>
      <c r="X15" s="126">
        <f>'Forecast - Current'!N15</f>
        <v>3254</v>
      </c>
      <c r="Y15" s="104"/>
      <c r="Z15" s="126">
        <f>'Forecast - Current'!O15</f>
        <v>3256</v>
      </c>
      <c r="AA15" s="105"/>
      <c r="AB15" s="120">
        <f t="shared" si="0"/>
        <v>26630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0</v>
      </c>
      <c r="D20" s="124">
        <f>'Forecast - Current'!D20</f>
        <v>0</v>
      </c>
      <c r="E20" s="106"/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9415721</v>
      </c>
      <c r="D21" s="114">
        <f>'Forecast - Current'!D21</f>
        <v>779421</v>
      </c>
      <c r="E21" s="115">
        <f>SUM(E7:E20)</f>
        <v>774283</v>
      </c>
      <c r="F21" s="116">
        <f>'Forecast - Current'!E21</f>
        <v>786355</v>
      </c>
      <c r="G21" s="115">
        <f>SUM(G7:G20)</f>
        <v>0</v>
      </c>
      <c r="H21" s="116">
        <f>'Forecast - Current'!F21</f>
        <v>898630</v>
      </c>
      <c r="I21" s="115">
        <f>SUM(I7:I20)</f>
        <v>0</v>
      </c>
      <c r="J21" s="116">
        <f>'Forecast - Current'!G21</f>
        <v>719715</v>
      </c>
      <c r="K21" s="115">
        <f>SUM(K7:K20)</f>
        <v>0</v>
      </c>
      <c r="L21" s="116">
        <f>'Forecast - Current'!H21</f>
        <v>788172</v>
      </c>
      <c r="M21" s="115">
        <f>SUM(M7:M20)</f>
        <v>0</v>
      </c>
      <c r="N21" s="116">
        <f>'Forecast - Current'!I21</f>
        <v>762715</v>
      </c>
      <c r="O21" s="115">
        <f>SUM(O7:O20)</f>
        <v>0</v>
      </c>
      <c r="P21" s="116">
        <f>'Forecast - Current'!J21</f>
        <v>719715</v>
      </c>
      <c r="Q21" s="115">
        <f>SUM(Q7:Q20)</f>
        <v>0</v>
      </c>
      <c r="R21" s="116">
        <f>'Forecast - Current'!K21</f>
        <v>788277</v>
      </c>
      <c r="S21" s="115">
        <f>SUM(S7:S20)</f>
        <v>0</v>
      </c>
      <c r="T21" s="116">
        <f>'Forecast - Current'!L21</f>
        <v>793245</v>
      </c>
      <c r="U21" s="115">
        <f>SUM(U7:U20)</f>
        <v>0</v>
      </c>
      <c r="V21" s="116">
        <f>'Forecast - Current'!M21</f>
        <v>852787</v>
      </c>
      <c r="W21" s="115">
        <f>SUM(W7:W20)</f>
        <v>0</v>
      </c>
      <c r="X21" s="116">
        <f>'Forecast - Current'!N21</f>
        <v>807759</v>
      </c>
      <c r="Y21" s="115">
        <f>SUM(Y7:Y20)</f>
        <v>0</v>
      </c>
      <c r="Z21" s="116">
        <f>'Forecast - Current'!O21</f>
        <v>718930</v>
      </c>
      <c r="AA21" s="117">
        <f>SUM(AA7:AA20)</f>
        <v>0</v>
      </c>
      <c r="AB21" s="118">
        <f t="shared" si="0"/>
        <v>774283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8"/>
      <c r="D24" s="210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5"/>
      <c r="C25" s="209"/>
      <c r="D25" s="211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6" t="s">
        <v>22</v>
      </c>
      <c r="C26" s="68">
        <f>'Forecast - Current'!C26</f>
        <v>7558030</v>
      </c>
      <c r="D26" s="47">
        <f>'Forecast - Current'!D26</f>
        <v>629835</v>
      </c>
      <c r="E26" s="102">
        <v>578192</v>
      </c>
      <c r="F26" s="125">
        <f>'Forecast - Current'!E26</f>
        <v>629835</v>
      </c>
      <c r="G26" s="102"/>
      <c r="H26" s="125">
        <f>'Forecast - Current'!F26</f>
        <v>629835</v>
      </c>
      <c r="I26" s="102"/>
      <c r="J26" s="125">
        <f>'Forecast - Current'!G26</f>
        <v>629835</v>
      </c>
      <c r="K26" s="102"/>
      <c r="L26" s="125">
        <f>'Forecast - Current'!H26</f>
        <v>629835</v>
      </c>
      <c r="M26" s="102"/>
      <c r="N26" s="125">
        <f>'Forecast - Current'!I26</f>
        <v>629835</v>
      </c>
      <c r="O26" s="102"/>
      <c r="P26" s="125">
        <f>'Forecast - Current'!J26</f>
        <v>629835</v>
      </c>
      <c r="Q26" s="102"/>
      <c r="R26" s="125">
        <f>'Forecast - Current'!K26</f>
        <v>629835</v>
      </c>
      <c r="S26" s="102"/>
      <c r="T26" s="125">
        <f>'Forecast - Current'!L26</f>
        <v>629835</v>
      </c>
      <c r="U26" s="102"/>
      <c r="V26" s="125">
        <f>'Forecast - Current'!M26</f>
        <v>629835</v>
      </c>
      <c r="W26" s="102"/>
      <c r="X26" s="125">
        <f>'Forecast - Current'!N26</f>
        <v>629835</v>
      </c>
      <c r="Y26" s="102"/>
      <c r="Z26" s="125">
        <f>'Forecast - Current'!O26</f>
        <v>629845</v>
      </c>
      <c r="AA26" s="103"/>
      <c r="AB26" s="65">
        <f>E26+G26+I26+K26+M26+O26+Q26+S26+U26+W26+Y26+AA26</f>
        <v>578192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11040</v>
      </c>
      <c r="F28" s="125">
        <f>'Forecast - Current'!E28</f>
        <v>0</v>
      </c>
      <c r="G28" s="104"/>
      <c r="H28" s="125">
        <f>'Forecast - Current'!F28</f>
        <v>0</v>
      </c>
      <c r="I28" s="104"/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11040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1994554</v>
      </c>
      <c r="D30" s="47">
        <f>'Forecast - Current'!D30</f>
        <v>159882</v>
      </c>
      <c r="E30" s="104">
        <f>107126+1</f>
        <v>107127</v>
      </c>
      <c r="F30" s="125">
        <f>'Forecast - Current'!E30</f>
        <v>213978</v>
      </c>
      <c r="G30" s="104"/>
      <c r="H30" s="125">
        <f>'Forecast - Current'!F30</f>
        <v>148978</v>
      </c>
      <c r="I30" s="104"/>
      <c r="J30" s="125">
        <f>'Forecast - Current'!G30</f>
        <v>148978</v>
      </c>
      <c r="K30" s="104"/>
      <c r="L30" s="125">
        <f>'Forecast - Current'!H30</f>
        <v>243978</v>
      </c>
      <c r="M30" s="104"/>
      <c r="N30" s="125">
        <f>'Forecast - Current'!I30</f>
        <v>148978</v>
      </c>
      <c r="O30" s="104"/>
      <c r="P30" s="125">
        <f>'Forecast - Current'!J30</f>
        <v>159882</v>
      </c>
      <c r="Q30" s="104"/>
      <c r="R30" s="125">
        <f>'Forecast - Current'!K30</f>
        <v>148978</v>
      </c>
      <c r="S30" s="104"/>
      <c r="T30" s="125">
        <f>'Forecast - Current'!L30</f>
        <v>148978</v>
      </c>
      <c r="U30" s="104"/>
      <c r="V30" s="125">
        <f>'Forecast - Current'!M30</f>
        <v>163978</v>
      </c>
      <c r="W30" s="104"/>
      <c r="X30" s="125">
        <f>'Forecast - Current'!N30</f>
        <v>158978</v>
      </c>
      <c r="Y30" s="104"/>
      <c r="Z30" s="125">
        <f>'Forecast - Current'!O30</f>
        <v>148988</v>
      </c>
      <c r="AA30" s="105"/>
      <c r="AB30" s="65">
        <f t="shared" si="1"/>
        <v>107127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80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/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12467</v>
      </c>
      <c r="D35" s="47">
        <f>'Forecast - Current'!D35</f>
        <v>12467</v>
      </c>
      <c r="E35" s="104">
        <v>12467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12467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130594</v>
      </c>
      <c r="D36" s="49">
        <f>'Forecast - Current'!D36</f>
        <v>130594</v>
      </c>
      <c r="E36" s="106">
        <v>130594</v>
      </c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130594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9695645</v>
      </c>
      <c r="D37" s="131">
        <f>'Forecast - Current'!D37</f>
        <v>932778</v>
      </c>
      <c r="E37" s="115">
        <f>SUM(E26:E36)</f>
        <v>839420</v>
      </c>
      <c r="F37" s="116">
        <f>'Forecast - Current'!E37</f>
        <v>843813</v>
      </c>
      <c r="G37" s="115">
        <f>SUM(G26:G36)</f>
        <v>0</v>
      </c>
      <c r="H37" s="116">
        <f>'Forecast - Current'!F37</f>
        <v>778813</v>
      </c>
      <c r="I37" s="115">
        <f>SUM(I26:I36)</f>
        <v>0</v>
      </c>
      <c r="J37" s="116">
        <f>'Forecast - Current'!G37</f>
        <v>778813</v>
      </c>
      <c r="K37" s="115">
        <f>SUM(K26:K36)</f>
        <v>0</v>
      </c>
      <c r="L37" s="116">
        <f>'Forecast - Current'!H37</f>
        <v>873813</v>
      </c>
      <c r="M37" s="115">
        <f>SUM(M26:M36)</f>
        <v>0</v>
      </c>
      <c r="N37" s="116">
        <f>'Forecast - Current'!I37</f>
        <v>778813</v>
      </c>
      <c r="O37" s="115">
        <f>SUM(O26:O36)</f>
        <v>0</v>
      </c>
      <c r="P37" s="116">
        <f>'Forecast - Current'!J37</f>
        <v>789717</v>
      </c>
      <c r="Q37" s="115">
        <f>SUM(Q26:Q36)</f>
        <v>0</v>
      </c>
      <c r="R37" s="116">
        <f>'Forecast - Current'!K37</f>
        <v>778813</v>
      </c>
      <c r="S37" s="115">
        <f>SUM(S26:S36)</f>
        <v>0</v>
      </c>
      <c r="T37" s="116">
        <f>'Forecast - Current'!L37</f>
        <v>778813</v>
      </c>
      <c r="U37" s="115">
        <f>SUM(U26:U36)</f>
        <v>0</v>
      </c>
      <c r="V37" s="116">
        <f>'Forecast - Current'!M37</f>
        <v>793813</v>
      </c>
      <c r="W37" s="115">
        <f>SUM(W26:W36)</f>
        <v>0</v>
      </c>
      <c r="X37" s="116">
        <f>'Forecast - Current'!N37</f>
        <v>788813</v>
      </c>
      <c r="Y37" s="115">
        <f>SUM(Y26:Y36)</f>
        <v>0</v>
      </c>
      <c r="Z37" s="116">
        <f>'Forecast - Current'!O37</f>
        <v>778833</v>
      </c>
      <c r="AA37" s="117">
        <f>SUM(AA26:AA36)</f>
        <v>0</v>
      </c>
      <c r="AB37" s="132">
        <f t="shared" si="1"/>
        <v>839420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-279924</v>
      </c>
      <c r="D39" s="52">
        <f t="shared" ref="D39:AB39" si="2">D21-D37</f>
        <v>-153357</v>
      </c>
      <c r="E39" s="55">
        <f t="shared" si="2"/>
        <v>-65137</v>
      </c>
      <c r="F39" s="52">
        <f t="shared" si="2"/>
        <v>-57458</v>
      </c>
      <c r="G39" s="55">
        <f t="shared" si="2"/>
        <v>0</v>
      </c>
      <c r="H39" s="52">
        <f t="shared" si="2"/>
        <v>119817</v>
      </c>
      <c r="I39" s="55">
        <f t="shared" si="2"/>
        <v>0</v>
      </c>
      <c r="J39" s="52">
        <f t="shared" si="2"/>
        <v>-59098</v>
      </c>
      <c r="K39" s="55">
        <f t="shared" si="2"/>
        <v>0</v>
      </c>
      <c r="L39" s="52">
        <f t="shared" si="2"/>
        <v>-85641</v>
      </c>
      <c r="M39" s="55">
        <f t="shared" si="2"/>
        <v>0</v>
      </c>
      <c r="N39" s="52">
        <f t="shared" si="2"/>
        <v>-16098</v>
      </c>
      <c r="O39" s="55">
        <f t="shared" si="2"/>
        <v>0</v>
      </c>
      <c r="P39" s="52">
        <f t="shared" si="2"/>
        <v>-70002</v>
      </c>
      <c r="Q39" s="55">
        <f t="shared" si="2"/>
        <v>0</v>
      </c>
      <c r="R39" s="52">
        <f t="shared" si="2"/>
        <v>9464</v>
      </c>
      <c r="S39" s="55">
        <f t="shared" si="2"/>
        <v>0</v>
      </c>
      <c r="T39" s="52">
        <f t="shared" si="2"/>
        <v>14432</v>
      </c>
      <c r="U39" s="55">
        <f t="shared" si="2"/>
        <v>0</v>
      </c>
      <c r="V39" s="52">
        <f t="shared" si="2"/>
        <v>58974</v>
      </c>
      <c r="W39" s="55">
        <f t="shared" si="2"/>
        <v>0</v>
      </c>
      <c r="X39" s="52">
        <f t="shared" si="2"/>
        <v>18946</v>
      </c>
      <c r="Y39" s="55">
        <f t="shared" si="2"/>
        <v>0</v>
      </c>
      <c r="Z39" s="52">
        <f t="shared" si="2"/>
        <v>-59903</v>
      </c>
      <c r="AA39" s="55">
        <f t="shared" si="2"/>
        <v>0</v>
      </c>
      <c r="AB39" s="55">
        <f t="shared" si="2"/>
        <v>-65137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783792</v>
      </c>
      <c r="D41" s="53">
        <f>C41</f>
        <v>783792</v>
      </c>
      <c r="E41" s="57">
        <f>C41</f>
        <v>783792</v>
      </c>
      <c r="F41" s="54">
        <f>D43</f>
        <v>630435</v>
      </c>
      <c r="G41" s="57">
        <f>E43</f>
        <v>718655</v>
      </c>
      <c r="H41" s="54">
        <f>F43</f>
        <v>572977</v>
      </c>
      <c r="I41" s="57">
        <f t="shared" ref="I41:AA41" si="3">G43</f>
        <v>718655</v>
      </c>
      <c r="J41" s="54">
        <f t="shared" si="3"/>
        <v>692794</v>
      </c>
      <c r="K41" s="57">
        <f t="shared" si="3"/>
        <v>718655</v>
      </c>
      <c r="L41" s="54">
        <f t="shared" si="3"/>
        <v>633696</v>
      </c>
      <c r="M41" s="57">
        <f t="shared" si="3"/>
        <v>718655</v>
      </c>
      <c r="N41" s="54">
        <f t="shared" si="3"/>
        <v>548055</v>
      </c>
      <c r="O41" s="57">
        <f t="shared" si="3"/>
        <v>718655</v>
      </c>
      <c r="P41" s="54">
        <f t="shared" si="3"/>
        <v>531957</v>
      </c>
      <c r="Q41" s="57">
        <f t="shared" si="3"/>
        <v>718655</v>
      </c>
      <c r="R41" s="54">
        <f t="shared" si="3"/>
        <v>461955</v>
      </c>
      <c r="S41" s="57">
        <f t="shared" si="3"/>
        <v>718655</v>
      </c>
      <c r="T41" s="54">
        <f t="shared" si="3"/>
        <v>471419</v>
      </c>
      <c r="U41" s="57">
        <f t="shared" si="3"/>
        <v>718655</v>
      </c>
      <c r="V41" s="54">
        <f t="shared" si="3"/>
        <v>485851</v>
      </c>
      <c r="W41" s="57">
        <f t="shared" si="3"/>
        <v>718655</v>
      </c>
      <c r="X41" s="54">
        <f t="shared" si="3"/>
        <v>544825</v>
      </c>
      <c r="Y41" s="57">
        <f t="shared" si="3"/>
        <v>718655</v>
      </c>
      <c r="Z41" s="54">
        <f t="shared" si="3"/>
        <v>563771</v>
      </c>
      <c r="AA41" s="57">
        <f t="shared" si="3"/>
        <v>718655</v>
      </c>
      <c r="AB41" s="55">
        <f>C41</f>
        <v>783792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503868</v>
      </c>
      <c r="D43" s="53">
        <f>D41+D39</f>
        <v>630435</v>
      </c>
      <c r="E43" s="56">
        <f>E41+E39</f>
        <v>718655</v>
      </c>
      <c r="F43" s="53">
        <f>F41+F39</f>
        <v>572977</v>
      </c>
      <c r="G43" s="56">
        <f t="shared" ref="G43:AB43" si="4">G41+G39</f>
        <v>718655</v>
      </c>
      <c r="H43" s="53">
        <f t="shared" si="4"/>
        <v>692794</v>
      </c>
      <c r="I43" s="56">
        <f t="shared" si="4"/>
        <v>718655</v>
      </c>
      <c r="J43" s="53">
        <f t="shared" si="4"/>
        <v>633696</v>
      </c>
      <c r="K43" s="56">
        <f t="shared" si="4"/>
        <v>718655</v>
      </c>
      <c r="L43" s="53">
        <f t="shared" si="4"/>
        <v>548055</v>
      </c>
      <c r="M43" s="56">
        <f t="shared" si="4"/>
        <v>718655</v>
      </c>
      <c r="N43" s="53">
        <f t="shared" si="4"/>
        <v>531957</v>
      </c>
      <c r="O43" s="56">
        <f t="shared" si="4"/>
        <v>718655</v>
      </c>
      <c r="P43" s="53">
        <f t="shared" si="4"/>
        <v>461955</v>
      </c>
      <c r="Q43" s="56">
        <f t="shared" si="4"/>
        <v>718655</v>
      </c>
      <c r="R43" s="53">
        <f t="shared" si="4"/>
        <v>471419</v>
      </c>
      <c r="S43" s="56">
        <f t="shared" si="4"/>
        <v>718655</v>
      </c>
      <c r="T43" s="53">
        <f t="shared" si="4"/>
        <v>485851</v>
      </c>
      <c r="U43" s="56">
        <f t="shared" si="4"/>
        <v>718655</v>
      </c>
      <c r="V43" s="53">
        <f t="shared" si="4"/>
        <v>544825</v>
      </c>
      <c r="W43" s="56">
        <f t="shared" si="4"/>
        <v>718655</v>
      </c>
      <c r="X43" s="53">
        <f t="shared" si="4"/>
        <v>563771</v>
      </c>
      <c r="Y43" s="56">
        <f t="shared" si="4"/>
        <v>718655</v>
      </c>
      <c r="Z43" s="53">
        <f t="shared" si="4"/>
        <v>503868</v>
      </c>
      <c r="AA43" s="56">
        <f t="shared" si="4"/>
        <v>718655</v>
      </c>
      <c r="AB43" s="56">
        <f t="shared" si="4"/>
        <v>718655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4" workbookViewId="0">
      <selection activeCell="I39" sqref="I39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75</v>
      </c>
      <c r="G1" s="221"/>
      <c r="H1" s="144"/>
    </row>
    <row r="2" spans="1:9" ht="20.25" thickBot="1" x14ac:dyDescent="0.3">
      <c r="A2" s="1"/>
      <c r="B2" s="212" t="s">
        <v>45</v>
      </c>
      <c r="C2" s="213"/>
      <c r="D2" s="1"/>
      <c r="F2" s="216"/>
      <c r="G2" s="216"/>
      <c r="H2" s="145" t="s">
        <v>14</v>
      </c>
      <c r="I2" s="146" t="s">
        <v>62</v>
      </c>
    </row>
    <row r="3" spans="1:9" ht="20.25" thickBot="1" x14ac:dyDescent="0.3">
      <c r="A3" s="1"/>
      <c r="B3" s="214" t="s">
        <v>46</v>
      </c>
      <c r="C3" s="215"/>
      <c r="D3" s="1"/>
      <c r="F3" s="222" t="s">
        <v>63</v>
      </c>
      <c r="G3" s="222"/>
      <c r="H3" s="147">
        <v>6571782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19" t="s">
        <v>82</v>
      </c>
      <c r="G4" s="220"/>
      <c r="H4" s="147">
        <v>1894958</v>
      </c>
      <c r="I4" s="156" t="s">
        <v>95</v>
      </c>
    </row>
    <row r="5" spans="1:9" x14ac:dyDescent="0.2">
      <c r="A5" s="1"/>
      <c r="B5" s="39">
        <f t="shared" ref="B5:B28" si="0">B4+1</f>
        <v>2</v>
      </c>
      <c r="C5" s="40"/>
      <c r="D5" s="1"/>
      <c r="F5" s="222" t="s">
        <v>64</v>
      </c>
      <c r="G5" s="222"/>
      <c r="H5" s="147">
        <v>179270</v>
      </c>
      <c r="I5" s="148" t="s">
        <v>103</v>
      </c>
    </row>
    <row r="6" spans="1:9" x14ac:dyDescent="0.2">
      <c r="A6" s="1"/>
      <c r="B6" s="39">
        <f t="shared" si="0"/>
        <v>3</v>
      </c>
      <c r="C6" s="40"/>
      <c r="D6" s="1"/>
      <c r="F6" s="219" t="s">
        <v>65</v>
      </c>
      <c r="G6" s="220"/>
      <c r="H6" s="147">
        <v>0</v>
      </c>
      <c r="I6" s="148"/>
    </row>
    <row r="7" spans="1:9" x14ac:dyDescent="0.2">
      <c r="A7" s="1"/>
      <c r="B7" s="39">
        <f t="shared" si="0"/>
        <v>4</v>
      </c>
      <c r="C7" s="40"/>
      <c r="D7" s="1"/>
      <c r="F7" s="219" t="s">
        <v>66</v>
      </c>
      <c r="G7" s="220"/>
      <c r="H7" s="147">
        <v>78000</v>
      </c>
      <c r="I7" s="148" t="s">
        <v>94</v>
      </c>
    </row>
    <row r="8" spans="1:9" x14ac:dyDescent="0.2">
      <c r="A8" s="1"/>
      <c r="B8" s="39">
        <f t="shared" si="0"/>
        <v>5</v>
      </c>
      <c r="C8" s="40"/>
      <c r="D8" s="1"/>
      <c r="F8" s="222" t="s">
        <v>67</v>
      </c>
      <c r="G8" s="222"/>
      <c r="H8" s="147">
        <v>25526</v>
      </c>
      <c r="I8" s="148" t="s">
        <v>96</v>
      </c>
    </row>
    <row r="9" spans="1:9" x14ac:dyDescent="0.2">
      <c r="A9" s="1"/>
      <c r="B9" s="39">
        <f t="shared" si="0"/>
        <v>6</v>
      </c>
      <c r="C9" s="40"/>
      <c r="D9" s="1"/>
      <c r="F9" s="222" t="s">
        <v>68</v>
      </c>
      <c r="G9" s="222"/>
      <c r="H9" s="147">
        <v>30117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2" t="s">
        <v>69</v>
      </c>
      <c r="G10" s="222"/>
      <c r="H10" s="147">
        <v>34000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9" t="s">
        <v>87</v>
      </c>
      <c r="G11" s="220"/>
      <c r="H11" s="147">
        <v>216174</v>
      </c>
      <c r="I11" s="156" t="s">
        <v>97</v>
      </c>
    </row>
    <row r="12" spans="1:9" x14ac:dyDescent="0.2">
      <c r="A12" s="1"/>
      <c r="B12" s="39">
        <f t="shared" si="0"/>
        <v>9</v>
      </c>
      <c r="C12" s="40"/>
      <c r="D12" s="1"/>
      <c r="F12" s="219" t="s">
        <v>83</v>
      </c>
      <c r="G12" s="220"/>
      <c r="H12" s="147">
        <v>52440</v>
      </c>
      <c r="I12" s="156" t="s">
        <v>99</v>
      </c>
    </row>
    <row r="13" spans="1:9" x14ac:dyDescent="0.2">
      <c r="A13" s="1"/>
      <c r="B13" s="39">
        <f t="shared" si="0"/>
        <v>10</v>
      </c>
      <c r="C13" s="40"/>
      <c r="D13" s="1"/>
      <c r="F13" s="219" t="s">
        <v>88</v>
      </c>
      <c r="G13" s="220"/>
      <c r="H13" s="147">
        <v>31590</v>
      </c>
      <c r="I13" s="160" t="s">
        <v>98</v>
      </c>
    </row>
    <row r="14" spans="1:9" x14ac:dyDescent="0.2">
      <c r="A14" s="1"/>
      <c r="B14" s="39">
        <f t="shared" si="0"/>
        <v>11</v>
      </c>
      <c r="C14" s="40"/>
      <c r="D14" s="1"/>
      <c r="F14" s="222" t="s">
        <v>89</v>
      </c>
      <c r="G14" s="222"/>
      <c r="H14" s="147">
        <v>3814</v>
      </c>
      <c r="I14" s="148" t="s">
        <v>4</v>
      </c>
    </row>
    <row r="15" spans="1:9" x14ac:dyDescent="0.2">
      <c r="A15" s="1"/>
      <c r="B15" s="39">
        <f t="shared" si="0"/>
        <v>12</v>
      </c>
      <c r="C15" s="40"/>
      <c r="D15" s="1"/>
      <c r="F15" s="218" t="s">
        <v>14</v>
      </c>
      <c r="G15" s="218"/>
      <c r="H15" s="149">
        <f>SUM(H3:H14)</f>
        <v>9117671</v>
      </c>
    </row>
    <row r="16" spans="1:9" x14ac:dyDescent="0.2">
      <c r="A16" s="1"/>
      <c r="B16" s="39">
        <f t="shared" si="0"/>
        <v>13</v>
      </c>
      <c r="C16" s="40"/>
      <c r="D16" s="1"/>
      <c r="H16" s="150"/>
    </row>
    <row r="17" spans="1:9" x14ac:dyDescent="0.2">
      <c r="A17" s="1"/>
      <c r="B17" s="39">
        <f t="shared" si="0"/>
        <v>14</v>
      </c>
      <c r="C17" s="40"/>
      <c r="D17" s="1"/>
      <c r="F17" s="223" t="s">
        <v>76</v>
      </c>
      <c r="G17" s="223"/>
      <c r="H17" s="223"/>
    </row>
    <row r="18" spans="1:9" x14ac:dyDescent="0.2">
      <c r="A18" s="1"/>
      <c r="B18" s="39">
        <f t="shared" si="0"/>
        <v>15</v>
      </c>
      <c r="C18" s="40"/>
      <c r="D18" s="1"/>
      <c r="F18" s="216"/>
      <c r="G18" s="216"/>
      <c r="H18" s="145" t="s">
        <v>14</v>
      </c>
      <c r="I18" s="146" t="s">
        <v>62</v>
      </c>
    </row>
    <row r="19" spans="1:9" x14ac:dyDescent="0.2">
      <c r="A19" s="1"/>
      <c r="B19" s="39">
        <f t="shared" si="0"/>
        <v>16</v>
      </c>
      <c r="C19" s="40"/>
      <c r="D19" s="1"/>
      <c r="F19" s="217" t="s">
        <v>70</v>
      </c>
      <c r="G19" s="217"/>
      <c r="H19" s="151">
        <v>129000</v>
      </c>
      <c r="I19" s="152" t="s">
        <v>91</v>
      </c>
    </row>
    <row r="20" spans="1:9" x14ac:dyDescent="0.2">
      <c r="A20" s="1"/>
      <c r="B20" s="39">
        <f t="shared" si="0"/>
        <v>17</v>
      </c>
      <c r="C20" s="40"/>
      <c r="D20" s="1"/>
      <c r="F20" s="218" t="s">
        <v>14</v>
      </c>
      <c r="G20" s="218"/>
      <c r="H20" s="149">
        <f>SUM(H19:H19)</f>
        <v>129000</v>
      </c>
    </row>
    <row r="21" spans="1:9" x14ac:dyDescent="0.2">
      <c r="A21" s="1"/>
      <c r="B21" s="39">
        <f t="shared" si="0"/>
        <v>18</v>
      </c>
      <c r="C21" s="40"/>
      <c r="D21" s="1"/>
      <c r="F21" s="158"/>
      <c r="G21" s="158"/>
      <c r="H21" s="159"/>
    </row>
    <row r="22" spans="1:9" x14ac:dyDescent="0.2">
      <c r="A22" s="1"/>
      <c r="B22" s="39">
        <f t="shared" si="0"/>
        <v>19</v>
      </c>
      <c r="C22" s="40"/>
      <c r="D22" s="1"/>
      <c r="F22" s="223" t="s">
        <v>15</v>
      </c>
      <c r="G22" s="223"/>
      <c r="H22" s="223"/>
    </row>
    <row r="23" spans="1:9" x14ac:dyDescent="0.2">
      <c r="A23" s="1"/>
      <c r="B23" s="39">
        <f t="shared" si="0"/>
        <v>20</v>
      </c>
      <c r="C23" s="40"/>
      <c r="D23" s="1"/>
      <c r="F23" s="216"/>
      <c r="G23" s="216"/>
      <c r="H23" s="145" t="s">
        <v>14</v>
      </c>
      <c r="I23" s="146" t="s">
        <v>62</v>
      </c>
    </row>
    <row r="24" spans="1:9" x14ac:dyDescent="0.2">
      <c r="A24" s="1"/>
      <c r="B24" s="39">
        <f t="shared" si="0"/>
        <v>21</v>
      </c>
      <c r="C24" s="40"/>
      <c r="D24" s="1"/>
      <c r="F24" s="217" t="s">
        <v>15</v>
      </c>
      <c r="G24" s="217"/>
      <c r="H24" s="151">
        <v>130000</v>
      </c>
      <c r="I24" s="152" t="s">
        <v>90</v>
      </c>
    </row>
    <row r="25" spans="1:9" x14ac:dyDescent="0.2">
      <c r="A25" s="1"/>
      <c r="B25" s="39">
        <f t="shared" si="0"/>
        <v>22</v>
      </c>
      <c r="C25" s="40"/>
      <c r="D25" s="1"/>
      <c r="F25" s="218" t="s">
        <v>14</v>
      </c>
      <c r="G25" s="218"/>
      <c r="H25" s="149">
        <f>SUM(H24:H24)</f>
        <v>130000</v>
      </c>
    </row>
    <row r="26" spans="1:9" x14ac:dyDescent="0.2">
      <c r="A26" s="1"/>
      <c r="B26" s="39">
        <f t="shared" si="0"/>
        <v>23</v>
      </c>
      <c r="C26" s="40"/>
      <c r="D26" s="1"/>
      <c r="F26" s="154"/>
      <c r="G26" s="154"/>
      <c r="H26" s="155"/>
    </row>
    <row r="27" spans="1:9" x14ac:dyDescent="0.2">
      <c r="A27" s="1"/>
      <c r="B27" s="39">
        <f t="shared" si="0"/>
        <v>24</v>
      </c>
      <c r="C27" s="40"/>
      <c r="D27" s="1"/>
      <c r="F27" s="223" t="s">
        <v>77</v>
      </c>
      <c r="G27" s="223"/>
      <c r="H27" s="223"/>
    </row>
    <row r="28" spans="1:9" x14ac:dyDescent="0.2">
      <c r="A28" s="1"/>
      <c r="B28" s="39">
        <f t="shared" si="0"/>
        <v>25</v>
      </c>
      <c r="C28" s="40"/>
      <c r="D28" s="1"/>
      <c r="F28" s="216"/>
      <c r="G28" s="216"/>
      <c r="H28" s="145" t="s">
        <v>14</v>
      </c>
      <c r="I28" s="146" t="s">
        <v>62</v>
      </c>
    </row>
    <row r="29" spans="1:9" x14ac:dyDescent="0.2">
      <c r="A29" s="1"/>
      <c r="B29" s="1"/>
      <c r="C29" s="1"/>
      <c r="D29" s="1"/>
      <c r="F29" s="217" t="s">
        <v>77</v>
      </c>
      <c r="G29" s="217"/>
      <c r="H29" s="151">
        <v>39050</v>
      </c>
      <c r="I29" s="152" t="s">
        <v>92</v>
      </c>
    </row>
    <row r="30" spans="1:9" x14ac:dyDescent="0.2">
      <c r="F30" s="218" t="s">
        <v>14</v>
      </c>
      <c r="G30" s="218"/>
      <c r="H30" s="149">
        <f>SUM(H29:H29)</f>
        <v>39050</v>
      </c>
    </row>
    <row r="31" spans="1:9" x14ac:dyDescent="0.2">
      <c r="F31" s="154"/>
      <c r="G31" s="154"/>
      <c r="H31" s="155"/>
    </row>
    <row r="32" spans="1:9" x14ac:dyDescent="0.2">
      <c r="F32" s="223" t="s">
        <v>84</v>
      </c>
      <c r="G32" s="223"/>
      <c r="H32" s="223"/>
      <c r="I32" s="223"/>
    </row>
    <row r="33" spans="6:9" x14ac:dyDescent="0.2">
      <c r="F33" s="216"/>
      <c r="G33" s="216"/>
      <c r="H33" s="153" t="s">
        <v>14</v>
      </c>
      <c r="I33" s="148" t="s">
        <v>62</v>
      </c>
    </row>
    <row r="34" spans="6:9" x14ac:dyDescent="0.2">
      <c r="F34" s="224" t="s">
        <v>85</v>
      </c>
      <c r="G34" s="225"/>
      <c r="H34" s="147">
        <v>7558030</v>
      </c>
      <c r="I34" s="157" t="s">
        <v>100</v>
      </c>
    </row>
    <row r="35" spans="6:9" x14ac:dyDescent="0.2">
      <c r="F35" s="224"/>
      <c r="G35" s="225"/>
      <c r="H35" s="161"/>
      <c r="I35" s="157"/>
    </row>
    <row r="36" spans="6:9" x14ac:dyDescent="0.2">
      <c r="F36" s="222" t="s">
        <v>71</v>
      </c>
      <c r="G36" s="222"/>
      <c r="H36" s="147">
        <v>35000</v>
      </c>
      <c r="I36" s="148" t="s">
        <v>3</v>
      </c>
    </row>
    <row r="37" spans="6:9" x14ac:dyDescent="0.2">
      <c r="F37" s="219" t="s">
        <v>72</v>
      </c>
      <c r="G37" s="220"/>
      <c r="H37" s="147">
        <v>150000</v>
      </c>
      <c r="I37" s="148" t="s">
        <v>101</v>
      </c>
    </row>
    <row r="38" spans="6:9" x14ac:dyDescent="0.2">
      <c r="F38" s="222" t="s">
        <v>73</v>
      </c>
      <c r="G38" s="222"/>
      <c r="H38" s="147">
        <v>21808</v>
      </c>
      <c r="I38" s="148" t="s">
        <v>104</v>
      </c>
    </row>
    <row r="39" spans="6:9" x14ac:dyDescent="0.2">
      <c r="F39" s="219"/>
      <c r="G39" s="220"/>
      <c r="H39" s="147"/>
      <c r="I39" s="157"/>
    </row>
    <row r="40" spans="6:9" x14ac:dyDescent="0.2">
      <c r="F40" s="222" t="s">
        <v>74</v>
      </c>
      <c r="G40" s="222"/>
      <c r="H40" s="147">
        <v>1787746</v>
      </c>
      <c r="I40" s="148" t="s">
        <v>102</v>
      </c>
    </row>
    <row r="41" spans="6:9" x14ac:dyDescent="0.2">
      <c r="F41" s="218" t="s">
        <v>14</v>
      </c>
      <c r="G41" s="218"/>
      <c r="H41" s="149">
        <f>SUM(H34:H40)</f>
        <v>9552584</v>
      </c>
      <c r="I41" s="3"/>
    </row>
  </sheetData>
  <mergeCells count="39">
    <mergeCell ref="F22:H22"/>
    <mergeCell ref="F23:G23"/>
    <mergeCell ref="F38:G38"/>
    <mergeCell ref="F40:G40"/>
    <mergeCell ref="F33:G33"/>
    <mergeCell ref="F36:G36"/>
    <mergeCell ref="F37:G37"/>
    <mergeCell ref="F34:G34"/>
    <mergeCell ref="F39:G39"/>
    <mergeCell ref="F35:G35"/>
    <mergeCell ref="F41:G41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4:G14"/>
    <mergeCell ref="F15:G15"/>
    <mergeCell ref="F17:H17"/>
    <mergeCell ref="F27:H27"/>
    <mergeCell ref="F32:I32"/>
    <mergeCell ref="F28:G28"/>
    <mergeCell ref="F24:G24"/>
    <mergeCell ref="F29:G29"/>
    <mergeCell ref="F30:G30"/>
    <mergeCell ref="F25:G25"/>
    <mergeCell ref="B2:C2"/>
    <mergeCell ref="B3:C3"/>
    <mergeCell ref="F18:G18"/>
    <mergeCell ref="F19:G19"/>
    <mergeCell ref="F20:G20"/>
    <mergeCell ref="F12:G12"/>
    <mergeCell ref="F11:G11"/>
    <mergeCell ref="F4:G4"/>
    <mergeCell ref="F13:G13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2022-11-28T18:11:48Z</cp:lastPrinted>
  <dcterms:created xsi:type="dcterms:W3CDTF">2018-10-18T12:28:19Z</dcterms:created>
  <dcterms:modified xsi:type="dcterms:W3CDTF">2022-11-28T18:30:26Z</dcterms:modified>
</cp:coreProperties>
</file>