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8-19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11" i="2"/>
  <c r="G15" i="2"/>
  <c r="G26" i="2"/>
  <c r="G28" i="2"/>
  <c r="G36" i="2"/>
  <c r="G9" i="2"/>
  <c r="G13" i="2"/>
  <c r="G7" i="2"/>
  <c r="E26" i="2" l="1"/>
  <c r="E30" i="2"/>
  <c r="E28" i="2"/>
  <c r="E13" i="2"/>
  <c r="E36" i="2"/>
  <c r="E15" i="2"/>
  <c r="E11" i="2"/>
  <c r="E7" i="2"/>
  <c r="O30" i="6" l="1"/>
  <c r="J30" i="6"/>
  <c r="D30" i="6"/>
  <c r="H30" i="6"/>
  <c r="E30" i="6"/>
  <c r="N30" i="6"/>
  <c r="M30" i="6"/>
  <c r="L30" i="6"/>
  <c r="K30" i="6"/>
  <c r="F30" i="6"/>
  <c r="G30" i="6"/>
  <c r="I30" i="6"/>
  <c r="H43" i="5"/>
  <c r="H33" i="5"/>
  <c r="H28" i="5"/>
  <c r="E37" i="6" l="1"/>
  <c r="M15" i="6"/>
  <c r="L9" i="6"/>
  <c r="M9" i="6"/>
  <c r="J9" i="6"/>
  <c r="F9" i="6"/>
  <c r="I9" i="6"/>
  <c r="H19" i="5"/>
  <c r="H12" i="5"/>
  <c r="J7" i="6"/>
  <c r="L7" i="6"/>
  <c r="N7" i="6"/>
  <c r="K7" i="6"/>
  <c r="D7" i="6"/>
  <c r="H7" i="6"/>
  <c r="E7" i="6"/>
  <c r="F7" i="6"/>
  <c r="G7" i="6"/>
  <c r="I7" i="6"/>
  <c r="M7" i="6"/>
  <c r="O7" i="6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I39" i="2" s="1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G39" i="2" l="1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Z39" i="2" s="1"/>
  <c r="N21" i="6"/>
  <c r="M21" i="6"/>
  <c r="L21" i="6"/>
  <c r="K21" i="6"/>
  <c r="R21" i="2" s="1"/>
  <c r="R39" i="2" s="1"/>
  <c r="J21" i="6"/>
  <c r="I21" i="6"/>
  <c r="H21" i="6"/>
  <c r="G21" i="6"/>
  <c r="J21" i="2" s="1"/>
  <c r="J39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C39" i="2" l="1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F43" i="2" s="1"/>
  <c r="H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H43" i="2" l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<sst xmlns="http://schemas.openxmlformats.org/spreadsheetml/2006/main" count="202" uniqueCount="118">
  <si>
    <t>Cashflow Forecast 2018-19 - September</t>
  </si>
  <si>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</si>
  <si>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</si>
  <si>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</si>
  <si>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</si>
  <si>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</si>
  <si>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</si>
  <si>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</si>
  <si>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</si>
  <si>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</si>
  <si>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</si>
  <si>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</si>
  <si>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</si>
  <si>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</si>
  <si>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</si>
  <si>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</si>
  <si>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</si>
  <si>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</si>
  <si>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</si>
  <si>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</si>
  <si>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</si>
  <si>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</si>
  <si>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</si>
  <si>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</si>
  <si>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</si>
  <si>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</si>
  <si>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</si>
  <si>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</si>
  <si>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</si>
  <si>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</si>
  <si>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</si>
  <si>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</si>
  <si>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</si>
  <si>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ESFA CIF - Roofing 2017</t>
  </si>
  <si>
    <t>ESFA CIF - Cladding 2017</t>
  </si>
  <si>
    <t>Cashflow Expected\Actuals 2018-19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</si>
  <si>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</si>
  <si>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</si>
  <si>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</si>
  <si>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</si>
  <si>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</si>
  <si>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</si>
  <si>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</si>
  <si>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</si>
  <si>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</si>
  <si>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</si>
  <si>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</si>
  <si>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</si>
  <si>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</si>
  <si>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</si>
  <si>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</si>
  <si>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</si>
  <si>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</si>
  <si>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</si>
  <si>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</si>
  <si>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</si>
  <si>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</si>
  <si>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</si>
  <si>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</si>
  <si>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</si>
  <si>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</si>
  <si>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</si>
  <si>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</si>
  <si>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</si>
  <si>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</si>
  <si>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</si>
  <si>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</si>
  <si>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</si>
  <si>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</si>
  <si>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</si>
  <si>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</si>
  <si>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</si>
  <si>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</si>
  <si>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</si>
  <si>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</si>
  <si>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</si>
  <si>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336,704 x 12</t>
  </si>
  <si>
    <t>29,452 x 4 (Oct, Jan, Apr, Jul)</t>
  </si>
  <si>
    <t>130,669 x 12</t>
  </si>
  <si>
    <t>12,492 Sept, 6246 Apr</t>
  </si>
  <si>
    <t>March</t>
  </si>
  <si>
    <t>See table 1 for breakdown</t>
  </si>
  <si>
    <t>See table 2 for breakdown</t>
  </si>
  <si>
    <t>Table 2: Local Authorities income</t>
  </si>
  <si>
    <t>SEN (Essex)</t>
  </si>
  <si>
    <t>Bexley</t>
  </si>
  <si>
    <t>Falling Rolls</t>
  </si>
  <si>
    <t xml:space="preserve">5,059 per month paid termly, Nov (Autumn) x4 £20,236, Feb (Spring) x3 £15,177, July (Summer) x5 £25,295 </t>
  </si>
  <si>
    <t>2,125 per month paid termly, Nov (Autumn) x4 £8,500, Mar (Spring) x3 £6,375, June (Summer) x5 £10,625</t>
  </si>
  <si>
    <t>SGO income £23,800 June</t>
  </si>
  <si>
    <t>As per year end notes</t>
  </si>
  <si>
    <r>
      <t xml:space="preserve">Full cost of salaries from budget </t>
    </r>
    <r>
      <rPr>
        <sz val="10"/>
        <color theme="1"/>
        <rFont val="Tahoma"/>
        <family val="2"/>
      </rPr>
      <t>(before PP staffing contribution)</t>
    </r>
    <r>
      <rPr>
        <sz val="12"/>
        <color theme="1"/>
        <rFont val="Tahoma"/>
        <family val="2"/>
      </rPr>
      <t>, minus TPS increase</t>
    </r>
  </si>
  <si>
    <t>6,7,8</t>
  </si>
  <si>
    <r>
      <t xml:space="preserve">All other expenditure from budget minus PP staffing </t>
    </r>
    <r>
      <rPr>
        <sz val="10"/>
        <color theme="1"/>
        <rFont val="Tahoma"/>
        <family val="2"/>
      </rPr>
      <t>(this is included in salaries expenditure)</t>
    </r>
  </si>
  <si>
    <t>Astro sinking fund</t>
  </si>
  <si>
    <t>Not to be spent this year</t>
  </si>
  <si>
    <r>
      <t>All ring-fenced (</t>
    </r>
    <r>
      <rPr>
        <sz val="10"/>
        <color theme="1"/>
        <rFont val="Tahoma"/>
        <family val="2"/>
      </rPr>
      <t>except CCF and JRI donantion)</t>
    </r>
  </si>
  <si>
    <t>Income\expenditure not predictable</t>
  </si>
  <si>
    <t>Restricted - School Games</t>
  </si>
  <si>
    <t>Restricted - Insurance cost</t>
  </si>
  <si>
    <t>No cashflow impact</t>
  </si>
  <si>
    <t>Restricted - CIF</t>
  </si>
  <si>
    <t>CIF listed separately</t>
  </si>
  <si>
    <t>Astro sinking fund contribution</t>
  </si>
  <si>
    <t>Other expenditure also has the following exclusion compared to budget - see table 3 and 4</t>
  </si>
  <si>
    <t>Table 4: Other Exclusions from Other Expenditure</t>
  </si>
  <si>
    <t xml:space="preserve">Table 5: Distribution of Other Expenditure </t>
  </si>
  <si>
    <t>Insurance</t>
  </si>
  <si>
    <t>April</t>
  </si>
  <si>
    <t>Exams</t>
  </si>
  <si>
    <t>Oct 6,246, Jan 6,246, Mar 6,246</t>
  </si>
  <si>
    <t>Salix</t>
  </si>
  <si>
    <t xml:space="preserve">All other </t>
  </si>
  <si>
    <t>12 x 76,643</t>
  </si>
  <si>
    <t>Sept 11,439, Mar 11,439</t>
  </si>
  <si>
    <t>Oct 30k, Jan 65k, May 10k June 10k, July 10k</t>
  </si>
  <si>
    <t>Distribution of other expenditure as per table 5</t>
  </si>
  <si>
    <t>Table 3: Budget Appendix A Exclusions from Other expenditure (£154,461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</si>
</sst>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1" fillId="0" borderId="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B1" workbookViewId="0">
      <selection activeCell="D20" sqref="D20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1" t="s">
        <v>15</v>
      </c>
      <c r="Q4" s="11" t="s">
        <v>48</v>
      </c>
      <c r="R4" s="1"/>
    </row>
    <row r="5" spans="1:18" x14ac:dyDescent="0.2">
      <c r="A5" s="1"/>
      <c r="B5" s="8" t="s">
        <v>1</v>
      </c>
      <c r="C5" s="167"/>
      <c r="D5" s="175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65"/>
      <c r="P5" s="167"/>
      <c r="Q5" s="169"/>
      <c r="R5" s="1"/>
    </row>
    <row r="6" spans="1:18" s="3" customFormat="1" ht="9.9499999999999993" customHeight="1" thickBot="1" x14ac:dyDescent="0.25">
      <c r="A6" s="4"/>
      <c r="B6" s="9"/>
      <c r="C6" s="168"/>
      <c r="D6" s="176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66"/>
      <c r="P6" s="168"/>
      <c r="Q6" s="170"/>
      <c r="R6" s="4"/>
    </row>
    <row r="7" spans="1:18" x14ac:dyDescent="0.2">
      <c r="A7" s="1"/>
      <c r="B7" s="12" t="s">
        <v>65</v>
      </c>
      <c r="C7" s="94">
        <v>5822418</v>
      </c>
      <c r="D7" s="95">
        <f>336704+130669+12492</f>
        <v>479865</v>
      </c>
      <c r="E7" s="95">
        <f>336704+130669+29452</f>
        <v>496825</v>
      </c>
      <c r="F7" s="95">
        <f t="shared" ref="F7:O7" si="0">336704+130669</f>
        <v>467373</v>
      </c>
      <c r="G7" s="95">
        <f t="shared" si="0"/>
        <v>467373</v>
      </c>
      <c r="H7" s="95">
        <f>336704+130669+29452</f>
        <v>496825</v>
      </c>
      <c r="I7" s="95">
        <f t="shared" si="0"/>
        <v>467373</v>
      </c>
      <c r="J7" s="95">
        <f>336704+130669+18907</f>
        <v>486280</v>
      </c>
      <c r="K7" s="95">
        <f>336704+130669+29452+6246</f>
        <v>503071</v>
      </c>
      <c r="L7" s="95">
        <f>336704+130669+34422</f>
        <v>501795</v>
      </c>
      <c r="M7" s="95">
        <f t="shared" si="0"/>
        <v>467373</v>
      </c>
      <c r="N7" s="95">
        <f>336704+130669+29452+24064</f>
        <v>520889</v>
      </c>
      <c r="O7" s="95">
        <f t="shared" si="0"/>
        <v>467373</v>
      </c>
      <c r="P7" s="100">
        <f>SUM(D7:O7)</f>
        <v>5822415</v>
      </c>
      <c r="Q7" s="135">
        <v>1</v>
      </c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66</v>
      </c>
      <c r="C9" s="88">
        <v>397193</v>
      </c>
      <c r="D9" s="89"/>
      <c r="E9" s="90"/>
      <c r="F9" s="90">
        <f>20236+8500</f>
        <v>28736</v>
      </c>
      <c r="G9" s="90"/>
      <c r="H9" s="90"/>
      <c r="I9" s="90">
        <f>15177</f>
        <v>15177</v>
      </c>
      <c r="J9" s="90">
        <f>6375</f>
        <v>6375</v>
      </c>
      <c r="K9" s="90"/>
      <c r="L9" s="90">
        <f>310975</f>
        <v>310975</v>
      </c>
      <c r="M9" s="90">
        <f>10625</f>
        <v>10625</v>
      </c>
      <c r="N9" s="90">
        <v>25305</v>
      </c>
      <c r="O9" s="91"/>
      <c r="P9" s="93">
        <f>SUM(D9:O9)</f>
        <v>397193</v>
      </c>
      <c r="Q9" s="136">
        <v>2</v>
      </c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16</v>
      </c>
      <c r="C11" s="88">
        <v>165000</v>
      </c>
      <c r="D11" s="89">
        <v>13750</v>
      </c>
      <c r="E11" s="89">
        <v>13750</v>
      </c>
      <c r="F11" s="89">
        <v>13750</v>
      </c>
      <c r="G11" s="89">
        <v>13750</v>
      </c>
      <c r="H11" s="89">
        <v>13750</v>
      </c>
      <c r="I11" s="89">
        <v>13750</v>
      </c>
      <c r="J11" s="89">
        <v>13750</v>
      </c>
      <c r="K11" s="89">
        <v>13750</v>
      </c>
      <c r="L11" s="89">
        <v>13750</v>
      </c>
      <c r="M11" s="89">
        <v>13750</v>
      </c>
      <c r="N11" s="89">
        <v>13750</v>
      </c>
      <c r="O11" s="89">
        <v>13750</v>
      </c>
      <c r="P11" s="93">
        <f>SUM(D11:O11)</f>
        <v>165000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17</v>
      </c>
      <c r="C13" s="88">
        <v>0</v>
      </c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18</v>
      </c>
      <c r="C15" s="88">
        <v>36650</v>
      </c>
      <c r="D15" s="89">
        <v>1070</v>
      </c>
      <c r="E15" s="89">
        <v>1070</v>
      </c>
      <c r="F15" s="89">
        <v>1070</v>
      </c>
      <c r="G15" s="89">
        <v>1070</v>
      </c>
      <c r="H15" s="89">
        <v>1070</v>
      </c>
      <c r="I15" s="89">
        <v>1070</v>
      </c>
      <c r="J15" s="89">
        <v>1070</v>
      </c>
      <c r="K15" s="89">
        <v>1070</v>
      </c>
      <c r="L15" s="89">
        <v>1070</v>
      </c>
      <c r="M15" s="89">
        <f>1070+23800</f>
        <v>24870</v>
      </c>
      <c r="N15" s="89">
        <v>1070</v>
      </c>
      <c r="O15" s="89">
        <v>1080</v>
      </c>
      <c r="P15" s="93">
        <f>SUM(D15:O15)</f>
        <v>36650</v>
      </c>
      <c r="Q15" s="136">
        <v>3</v>
      </c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19</v>
      </c>
      <c r="C17" s="88">
        <v>0</v>
      </c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1"/>
      <c r="P17" s="93">
        <f>SUM(D17:O17)</f>
        <v>0</v>
      </c>
      <c r="Q17" s="136"/>
      <c r="R17" s="1"/>
    </row>
    <row r="18" spans="1:18" x14ac:dyDescent="0.2">
      <c r="A18" s="1"/>
      <c r="B18" s="142" t="s">
        <v>19</v>
      </c>
      <c r="C18" s="88">
        <v>0</v>
      </c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20</v>
      </c>
      <c r="C20" s="96">
        <v>33137</v>
      </c>
      <c r="D20" s="97">
        <v>378</v>
      </c>
      <c r="E20" s="98">
        <v>20018</v>
      </c>
      <c r="F20" s="98">
        <v>12741</v>
      </c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33137</v>
      </c>
      <c r="Q20" s="137">
        <v>4</v>
      </c>
      <c r="R20" s="1"/>
    </row>
    <row r="21" spans="1:18" ht="15.75" thickBot="1" x14ac:dyDescent="0.25">
      <c r="A21" s="1"/>
      <c r="B21" s="71" t="s">
        <v>21</v>
      </c>
      <c r="C21" s="73">
        <f>SUM(C7:C20)</f>
        <v>6454398</v>
      </c>
      <c r="D21" s="74">
        <f t="shared" ref="D21:O21" si="1">SUM(D7:D20)</f>
        <v>495063</v>
      </c>
      <c r="E21" s="74">
        <f t="shared" si="1"/>
        <v>531663</v>
      </c>
      <c r="F21" s="74">
        <f t="shared" si="1"/>
        <v>523670</v>
      </c>
      <c r="G21" s="74">
        <f t="shared" si="1"/>
        <v>482193</v>
      </c>
      <c r="H21" s="74">
        <f t="shared" si="1"/>
        <v>511645</v>
      </c>
      <c r="I21" s="74">
        <f t="shared" si="1"/>
        <v>497370</v>
      </c>
      <c r="J21" s="74">
        <f t="shared" si="1"/>
        <v>507475</v>
      </c>
      <c r="K21" s="74">
        <f t="shared" si="1"/>
        <v>517891</v>
      </c>
      <c r="L21" s="74">
        <f t="shared" si="1"/>
        <v>827590</v>
      </c>
      <c r="M21" s="74">
        <f t="shared" si="1"/>
        <v>516618</v>
      </c>
      <c r="N21" s="74">
        <f t="shared" si="1"/>
        <v>561014</v>
      </c>
      <c r="O21" s="75">
        <f t="shared" si="1"/>
        <v>482203</v>
      </c>
      <c r="P21" s="73">
        <f>SUM(D21:O21)</f>
        <v>6454395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2</v>
      </c>
      <c r="D23" s="42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" t="s">
        <v>11</v>
      </c>
      <c r="M23" s="10" t="s">
        <v>12</v>
      </c>
      <c r="N23" s="10" t="s">
        <v>13</v>
      </c>
      <c r="O23" s="10" t="s">
        <v>14</v>
      </c>
      <c r="P23" s="11" t="s">
        <v>15</v>
      </c>
      <c r="Q23" s="11" t="s">
        <v>48</v>
      </c>
      <c r="R23" s="1"/>
    </row>
    <row r="24" spans="1:18" x14ac:dyDescent="0.2">
      <c r="A24" s="1"/>
      <c r="B24" s="13" t="s">
        <v>22</v>
      </c>
      <c r="C24" s="157"/>
      <c r="D24" s="17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3"/>
      <c r="P24" s="157"/>
      <c r="Q24" s="159"/>
      <c r="R24" s="1"/>
    </row>
    <row r="25" spans="1:18" ht="9.9499999999999993" customHeight="1" thickBot="1" x14ac:dyDescent="0.25">
      <c r="A25" s="1"/>
      <c r="B25" s="6"/>
      <c r="C25" s="158"/>
      <c r="D25" s="17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4"/>
      <c r="P25" s="158"/>
      <c r="Q25" s="160"/>
      <c r="R25" s="1"/>
    </row>
    <row r="26" spans="1:18" x14ac:dyDescent="0.2">
      <c r="A26" s="1"/>
      <c r="B26" s="14" t="s">
        <v>23</v>
      </c>
      <c r="C26" s="86">
        <v>5395966</v>
      </c>
      <c r="D26" s="87">
        <v>449664</v>
      </c>
      <c r="E26" s="87">
        <v>449664</v>
      </c>
      <c r="F26" s="87">
        <v>449664</v>
      </c>
      <c r="G26" s="87">
        <v>449664</v>
      </c>
      <c r="H26" s="87">
        <v>449664</v>
      </c>
      <c r="I26" s="87">
        <v>449664</v>
      </c>
      <c r="J26" s="87">
        <v>449664</v>
      </c>
      <c r="K26" s="87">
        <v>449664</v>
      </c>
      <c r="L26" s="87">
        <v>449664</v>
      </c>
      <c r="M26" s="87">
        <v>449664</v>
      </c>
      <c r="N26" s="87">
        <v>449664</v>
      </c>
      <c r="O26" s="87">
        <v>449662</v>
      </c>
      <c r="P26" s="92">
        <f>SUM(D26:O26)</f>
        <v>5395966</v>
      </c>
      <c r="Q26" s="139">
        <v>5</v>
      </c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25</v>
      </c>
      <c r="C28" s="88">
        <v>0</v>
      </c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24</v>
      </c>
      <c r="C30" s="88">
        <v>1150759</v>
      </c>
      <c r="D30" s="89">
        <f>76643+30000+11439</f>
        <v>118082</v>
      </c>
      <c r="E30" s="89">
        <f>76643+30000+6246</f>
        <v>112889</v>
      </c>
      <c r="F30" s="89">
        <f t="shared" ref="F30:I30" si="2">76643</f>
        <v>76643</v>
      </c>
      <c r="G30" s="89">
        <f t="shared" si="2"/>
        <v>76643</v>
      </c>
      <c r="H30" s="89">
        <f>76643+65000+6246</f>
        <v>147889</v>
      </c>
      <c r="I30" s="89">
        <f t="shared" si="2"/>
        <v>76643</v>
      </c>
      <c r="J30" s="89">
        <f>76643+6246+11439</f>
        <v>94328</v>
      </c>
      <c r="K30" s="89">
        <f>76643+34422</f>
        <v>111065</v>
      </c>
      <c r="L30" s="89">
        <f>76643+10000</f>
        <v>86643</v>
      </c>
      <c r="M30" s="89">
        <f>76643+10000</f>
        <v>86643</v>
      </c>
      <c r="N30" s="89">
        <f>76643+10000</f>
        <v>86643</v>
      </c>
      <c r="O30" s="89">
        <f>76643+5</f>
        <v>76648</v>
      </c>
      <c r="P30" s="92">
        <f>SUM(D30:O30)</f>
        <v>1150759</v>
      </c>
      <c r="Q30" s="136" t="s">
        <v>92</v>
      </c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33</v>
      </c>
      <c r="C32" s="88">
        <v>11389</v>
      </c>
      <c r="D32" s="89"/>
      <c r="E32" s="90"/>
      <c r="F32" s="90"/>
      <c r="G32" s="90"/>
      <c r="H32" s="90">
        <v>5000</v>
      </c>
      <c r="I32" s="90"/>
      <c r="J32" s="90"/>
      <c r="K32" s="90"/>
      <c r="L32" s="90"/>
      <c r="M32" s="90"/>
      <c r="N32" s="90">
        <v>6389</v>
      </c>
      <c r="O32" s="91"/>
      <c r="P32" s="92">
        <f>SUM(D32:O32)</f>
        <v>11389</v>
      </c>
      <c r="Q32" s="136"/>
      <c r="R32" s="1"/>
    </row>
    <row r="33" spans="1:18" x14ac:dyDescent="0.2">
      <c r="A33" s="1"/>
      <c r="B33" s="143" t="s">
        <v>34</v>
      </c>
      <c r="C33" s="88">
        <v>10547</v>
      </c>
      <c r="D33" s="89"/>
      <c r="E33" s="90">
        <v>10547</v>
      </c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10547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26</v>
      </c>
      <c r="C35" s="88">
        <v>11628</v>
      </c>
      <c r="D35" s="89">
        <v>11628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11628</v>
      </c>
      <c r="Q35" s="136"/>
      <c r="R35" s="1"/>
    </row>
    <row r="36" spans="1:18" ht="15.75" thickBot="1" x14ac:dyDescent="0.25">
      <c r="A36" s="1"/>
      <c r="B36" s="7" t="s">
        <v>27</v>
      </c>
      <c r="C36" s="88">
        <v>30131</v>
      </c>
      <c r="D36" s="89">
        <v>20000</v>
      </c>
      <c r="E36" s="90">
        <v>1131</v>
      </c>
      <c r="F36" s="90"/>
      <c r="G36" s="90"/>
      <c r="H36" s="90">
        <v>9000</v>
      </c>
      <c r="I36" s="90"/>
      <c r="J36" s="90"/>
      <c r="K36" s="90"/>
      <c r="L36" s="90"/>
      <c r="M36" s="90"/>
      <c r="N36" s="90"/>
      <c r="O36" s="91"/>
      <c r="P36" s="92">
        <f>SUM(D36:O36)</f>
        <v>30131</v>
      </c>
      <c r="Q36" s="136"/>
      <c r="R36" s="1"/>
    </row>
    <row r="37" spans="1:18" ht="15.75" thickBot="1" x14ac:dyDescent="0.25">
      <c r="A37" s="1"/>
      <c r="B37" s="76" t="s">
        <v>29</v>
      </c>
      <c r="C37" s="77">
        <f>SUM(C26:C36)</f>
        <v>6610420</v>
      </c>
      <c r="D37" s="78">
        <f t="shared" ref="D37:O37" si="3">SUM(D26:D36)</f>
        <v>599374</v>
      </c>
      <c r="E37" s="78">
        <f t="shared" si="3"/>
        <v>574231</v>
      </c>
      <c r="F37" s="78">
        <f t="shared" si="3"/>
        <v>526307</v>
      </c>
      <c r="G37" s="78">
        <f t="shared" si="3"/>
        <v>526307</v>
      </c>
      <c r="H37" s="78">
        <f t="shared" si="3"/>
        <v>611553</v>
      </c>
      <c r="I37" s="78">
        <f t="shared" si="3"/>
        <v>526307</v>
      </c>
      <c r="J37" s="78">
        <f t="shared" si="3"/>
        <v>543992</v>
      </c>
      <c r="K37" s="78">
        <f t="shared" si="3"/>
        <v>560729</v>
      </c>
      <c r="L37" s="78">
        <f t="shared" si="3"/>
        <v>536307</v>
      </c>
      <c r="M37" s="78">
        <f t="shared" si="3"/>
        <v>536307</v>
      </c>
      <c r="N37" s="78">
        <f t="shared" si="3"/>
        <v>542696</v>
      </c>
      <c r="O37" s="79">
        <f t="shared" si="3"/>
        <v>526310</v>
      </c>
      <c r="P37" s="77">
        <f>SUM(D37:O37)</f>
        <v>6610420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30</v>
      </c>
      <c r="C39" s="77">
        <f>C21-C37</f>
        <v>-156022</v>
      </c>
      <c r="D39" s="77">
        <f t="shared" ref="D39:P39" si="4">D21-D37</f>
        <v>-104311</v>
      </c>
      <c r="E39" s="77">
        <f t="shared" si="4"/>
        <v>-42568</v>
      </c>
      <c r="F39" s="77">
        <f t="shared" si="4"/>
        <v>-2637</v>
      </c>
      <c r="G39" s="77">
        <f t="shared" si="4"/>
        <v>-44114</v>
      </c>
      <c r="H39" s="77">
        <f t="shared" si="4"/>
        <v>-99908</v>
      </c>
      <c r="I39" s="77">
        <f t="shared" si="4"/>
        <v>-28937</v>
      </c>
      <c r="J39" s="77">
        <f t="shared" si="4"/>
        <v>-36517</v>
      </c>
      <c r="K39" s="77">
        <f t="shared" si="4"/>
        <v>-42838</v>
      </c>
      <c r="L39" s="77">
        <f t="shared" si="4"/>
        <v>291283</v>
      </c>
      <c r="M39" s="77">
        <f t="shared" si="4"/>
        <v>-19689</v>
      </c>
      <c r="N39" s="77">
        <f t="shared" si="4"/>
        <v>18318</v>
      </c>
      <c r="O39" s="77">
        <f t="shared" si="4"/>
        <v>-44107</v>
      </c>
      <c r="P39" s="77">
        <f t="shared" si="4"/>
        <v>-156025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28</v>
      </c>
      <c r="C41" s="72">
        <v>871620</v>
      </c>
      <c r="D41" s="78">
        <f>C41</f>
        <v>871620</v>
      </c>
      <c r="E41" s="85">
        <f>D41+D39</f>
        <v>767309</v>
      </c>
      <c r="F41" s="85">
        <f t="shared" ref="F41:O41" si="5">E41+E39</f>
        <v>724741</v>
      </c>
      <c r="G41" s="85">
        <f t="shared" si="5"/>
        <v>722104</v>
      </c>
      <c r="H41" s="85">
        <f t="shared" si="5"/>
        <v>677990</v>
      </c>
      <c r="I41" s="85">
        <f t="shared" si="5"/>
        <v>578082</v>
      </c>
      <c r="J41" s="85">
        <f t="shared" si="5"/>
        <v>549145</v>
      </c>
      <c r="K41" s="85">
        <f t="shared" si="5"/>
        <v>512628</v>
      </c>
      <c r="L41" s="85">
        <f t="shared" si="5"/>
        <v>469790</v>
      </c>
      <c r="M41" s="85">
        <f t="shared" si="5"/>
        <v>761073</v>
      </c>
      <c r="N41" s="85">
        <f t="shared" si="5"/>
        <v>741384</v>
      </c>
      <c r="O41" s="85">
        <f t="shared" si="5"/>
        <v>759702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31</v>
      </c>
      <c r="C43" s="77">
        <f>C41+C39</f>
        <v>715598</v>
      </c>
      <c r="D43" s="77">
        <f t="shared" ref="D43:O43" si="6">D41+D39</f>
        <v>767309</v>
      </c>
      <c r="E43" s="77">
        <f t="shared" si="6"/>
        <v>724741</v>
      </c>
      <c r="F43" s="77">
        <f t="shared" si="6"/>
        <v>722104</v>
      </c>
      <c r="G43" s="77">
        <f t="shared" si="6"/>
        <v>677990</v>
      </c>
      <c r="H43" s="77">
        <f t="shared" si="6"/>
        <v>578082</v>
      </c>
      <c r="I43" s="77">
        <f t="shared" si="6"/>
        <v>549145</v>
      </c>
      <c r="J43" s="77">
        <f t="shared" si="6"/>
        <v>512628</v>
      </c>
      <c r="K43" s="77">
        <f t="shared" si="6"/>
        <v>469790</v>
      </c>
      <c r="L43" s="77">
        <f t="shared" si="6"/>
        <v>761073</v>
      </c>
      <c r="M43" s="77">
        <f t="shared" si="6"/>
        <v>741384</v>
      </c>
      <c r="N43" s="77">
        <f t="shared" si="6"/>
        <v>759702</v>
      </c>
      <c r="O43" s="77">
        <f t="shared" si="6"/>
        <v>715595</v>
      </c>
      <c r="P43" s="77">
        <f>O43</f>
        <v>715595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password="9D59" sheet="1"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1" sqref="G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79" t="s">
        <v>35</v>
      </c>
      <c r="C2" s="18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2</v>
      </c>
      <c r="D4" s="19" t="s">
        <v>36</v>
      </c>
      <c r="E4" s="59" t="s">
        <v>63</v>
      </c>
      <c r="F4" s="18" t="s">
        <v>37</v>
      </c>
      <c r="G4" s="59" t="s">
        <v>62</v>
      </c>
      <c r="H4" s="18" t="s">
        <v>38</v>
      </c>
      <c r="I4" s="59" t="s">
        <v>51</v>
      </c>
      <c r="J4" s="18" t="s">
        <v>39</v>
      </c>
      <c r="K4" s="59" t="s">
        <v>61</v>
      </c>
      <c r="L4" s="18" t="s">
        <v>40</v>
      </c>
      <c r="M4" s="59" t="s">
        <v>60</v>
      </c>
      <c r="N4" s="18" t="s">
        <v>41</v>
      </c>
      <c r="O4" s="59" t="s">
        <v>59</v>
      </c>
      <c r="P4" s="18" t="s">
        <v>42</v>
      </c>
      <c r="Q4" s="59" t="s">
        <v>58</v>
      </c>
      <c r="R4" s="18" t="s">
        <v>43</v>
      </c>
      <c r="S4" s="59" t="s">
        <v>57</v>
      </c>
      <c r="T4" s="18" t="s">
        <v>44</v>
      </c>
      <c r="U4" s="59" t="s">
        <v>56</v>
      </c>
      <c r="V4" s="18" t="s">
        <v>45</v>
      </c>
      <c r="W4" s="59" t="s">
        <v>55</v>
      </c>
      <c r="X4" s="18" t="s">
        <v>46</v>
      </c>
      <c r="Y4" s="59" t="s">
        <v>54</v>
      </c>
      <c r="Z4" s="18" t="s">
        <v>47</v>
      </c>
      <c r="AA4" s="60" t="s">
        <v>53</v>
      </c>
      <c r="AB4" s="61" t="s">
        <v>52</v>
      </c>
      <c r="AC4" s="15"/>
    </row>
    <row r="5" spans="1:29" x14ac:dyDescent="0.2">
      <c r="A5" s="1"/>
      <c r="B5" s="32" t="s">
        <v>1</v>
      </c>
      <c r="C5" s="203"/>
      <c r="D5" s="205"/>
      <c r="E5" s="181"/>
      <c r="F5" s="177"/>
      <c r="G5" s="181"/>
      <c r="H5" s="193"/>
      <c r="I5" s="181"/>
      <c r="J5" s="177"/>
      <c r="K5" s="181"/>
      <c r="L5" s="177"/>
      <c r="M5" s="181"/>
      <c r="N5" s="193"/>
      <c r="O5" s="181"/>
      <c r="P5" s="193"/>
      <c r="Q5" s="181"/>
      <c r="R5" s="177"/>
      <c r="S5" s="181"/>
      <c r="T5" s="177"/>
      <c r="U5" s="181"/>
      <c r="V5" s="177"/>
      <c r="W5" s="181"/>
      <c r="X5" s="177"/>
      <c r="Y5" s="181"/>
      <c r="Z5" s="177"/>
      <c r="AA5" s="199"/>
      <c r="AB5" s="197"/>
      <c r="AC5" s="1"/>
    </row>
    <row r="6" spans="1:29" s="3" customFormat="1" ht="9.9499999999999993" customHeight="1" thickBot="1" x14ac:dyDescent="0.25">
      <c r="A6" s="4"/>
      <c r="B6" s="33"/>
      <c r="C6" s="204"/>
      <c r="D6" s="206"/>
      <c r="E6" s="182"/>
      <c r="F6" s="178"/>
      <c r="G6" s="182"/>
      <c r="H6" s="194"/>
      <c r="I6" s="182"/>
      <c r="J6" s="178"/>
      <c r="K6" s="182"/>
      <c r="L6" s="178"/>
      <c r="M6" s="182"/>
      <c r="N6" s="194"/>
      <c r="O6" s="182"/>
      <c r="P6" s="194"/>
      <c r="Q6" s="182"/>
      <c r="R6" s="178"/>
      <c r="S6" s="182"/>
      <c r="T6" s="178"/>
      <c r="U6" s="182"/>
      <c r="V6" s="178"/>
      <c r="W6" s="182"/>
      <c r="X6" s="178"/>
      <c r="Y6" s="182"/>
      <c r="Z6" s="178"/>
      <c r="AA6" s="200"/>
      <c r="AB6" s="198"/>
      <c r="AC6" s="4"/>
    </row>
    <row r="7" spans="1:29" x14ac:dyDescent="0.2">
      <c r="A7" s="1"/>
      <c r="B7" s="108" t="s">
        <v>64</v>
      </c>
      <c r="C7" s="58">
        <f>'Forecast - Current'!C7</f>
        <v>5822418</v>
      </c>
      <c r="D7" s="122">
        <f>'Forecast - Current'!D7</f>
        <v>479865</v>
      </c>
      <c r="E7" s="102">
        <f>468962</f>
        <v>468962</v>
      </c>
      <c r="F7" s="125">
        <f>'Forecast - Current'!E7</f>
        <v>496825</v>
      </c>
      <c r="G7" s="102">
        <f>467373+10010</f>
        <v>477383</v>
      </c>
      <c r="H7" s="125">
        <f>'Forecast - Current'!F7</f>
        <v>467373</v>
      </c>
      <c r="I7" s="102"/>
      <c r="J7" s="125">
        <f>'Forecast - Current'!G7</f>
        <v>467373</v>
      </c>
      <c r="K7" s="102"/>
      <c r="L7" s="125">
        <f>'Forecast - Current'!H7</f>
        <v>496825</v>
      </c>
      <c r="M7" s="102"/>
      <c r="N7" s="125">
        <f>'Forecast - Current'!I7</f>
        <v>467373</v>
      </c>
      <c r="O7" s="102"/>
      <c r="P7" s="125">
        <f>'Forecast - Current'!J7</f>
        <v>486280</v>
      </c>
      <c r="Q7" s="102"/>
      <c r="R7" s="125">
        <f>'Forecast - Current'!K7</f>
        <v>503071</v>
      </c>
      <c r="S7" s="102"/>
      <c r="T7" s="125">
        <f>'Forecast - Current'!L7</f>
        <v>501795</v>
      </c>
      <c r="U7" s="102"/>
      <c r="V7" s="125">
        <f>'Forecast - Current'!M7</f>
        <v>467373</v>
      </c>
      <c r="W7" s="102"/>
      <c r="X7" s="125">
        <f>'Forecast - Current'!N7</f>
        <v>520889</v>
      </c>
      <c r="Y7" s="102"/>
      <c r="Z7" s="125">
        <f>'Forecast - Current'!O7</f>
        <v>467373</v>
      </c>
      <c r="AA7" s="103"/>
      <c r="AB7" s="119">
        <f>E7+G7+I7+K7+M7+O7+Q7+S7+U7+W7+Y7+AA7</f>
        <v>946345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32</v>
      </c>
      <c r="C9" s="58">
        <f>'Forecast - Current'!C9</f>
        <v>397193</v>
      </c>
      <c r="D9" s="123">
        <f>'Forecast - Current'!D9</f>
        <v>0</v>
      </c>
      <c r="E9" s="104"/>
      <c r="F9" s="126">
        <f>'Forecast - Current'!E9</f>
        <v>0</v>
      </c>
      <c r="G9" s="104">
        <f>20887</f>
        <v>20887</v>
      </c>
      <c r="H9" s="126">
        <f>'Forecast - Current'!F9</f>
        <v>28736</v>
      </c>
      <c r="I9" s="104"/>
      <c r="J9" s="126">
        <f>'Forecast - Current'!G9</f>
        <v>0</v>
      </c>
      <c r="K9" s="104"/>
      <c r="L9" s="126">
        <f>'Forecast - Current'!H9</f>
        <v>0</v>
      </c>
      <c r="M9" s="104"/>
      <c r="N9" s="126">
        <f>'Forecast - Current'!I9</f>
        <v>15177</v>
      </c>
      <c r="O9" s="104"/>
      <c r="P9" s="126">
        <f>'Forecast - Current'!J9</f>
        <v>6375</v>
      </c>
      <c r="Q9" s="104"/>
      <c r="R9" s="126">
        <f>'Forecast - Current'!K9</f>
        <v>0</v>
      </c>
      <c r="S9" s="104"/>
      <c r="T9" s="126">
        <f>'Forecast - Current'!L9</f>
        <v>310975</v>
      </c>
      <c r="U9" s="104"/>
      <c r="V9" s="126">
        <f>'Forecast - Current'!M9</f>
        <v>10625</v>
      </c>
      <c r="W9" s="104"/>
      <c r="X9" s="126">
        <f>'Forecast - Current'!N9</f>
        <v>25305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20887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16</v>
      </c>
      <c r="C11" s="58">
        <f>'Forecast - Current'!C11</f>
        <v>165000</v>
      </c>
      <c r="D11" s="123">
        <f>'Forecast - Current'!D11</f>
        <v>13750</v>
      </c>
      <c r="E11" s="104">
        <f>200+142+160+440+475+380+1140+8051+720</f>
        <v>11708</v>
      </c>
      <c r="F11" s="126">
        <f>'Forecast - Current'!E11</f>
        <v>13750</v>
      </c>
      <c r="G11" s="104">
        <f>160+77+263+200+200+250+120+560+720+332+3400+71+75+300+420+80+270+640+4174+240+440+300+325+200+100+158+160</f>
        <v>14235</v>
      </c>
      <c r="H11" s="126">
        <f>'Forecast - Current'!F11</f>
        <v>13750</v>
      </c>
      <c r="I11" s="104"/>
      <c r="J11" s="126">
        <f>'Forecast - Current'!G11</f>
        <v>13750</v>
      </c>
      <c r="K11" s="104"/>
      <c r="L11" s="126">
        <f>'Forecast - Current'!H11</f>
        <v>13750</v>
      </c>
      <c r="M11" s="104"/>
      <c r="N11" s="126">
        <f>'Forecast - Current'!I11</f>
        <v>13750</v>
      </c>
      <c r="O11" s="104"/>
      <c r="P11" s="126">
        <f>'Forecast - Current'!J11</f>
        <v>13750</v>
      </c>
      <c r="Q11" s="104"/>
      <c r="R11" s="126">
        <f>'Forecast - Current'!K11</f>
        <v>13750</v>
      </c>
      <c r="S11" s="104"/>
      <c r="T11" s="126">
        <f>'Forecast - Current'!L11</f>
        <v>13750</v>
      </c>
      <c r="U11" s="104"/>
      <c r="V11" s="126">
        <f>'Forecast - Current'!M11</f>
        <v>13750</v>
      </c>
      <c r="W11" s="104"/>
      <c r="X11" s="126">
        <f>'Forecast - Current'!N11</f>
        <v>13750</v>
      </c>
      <c r="Y11" s="104"/>
      <c r="Z11" s="126">
        <f>'Forecast - Current'!O11</f>
        <v>13750</v>
      </c>
      <c r="AA11" s="105"/>
      <c r="AB11" s="120">
        <f t="shared" si="0"/>
        <v>25943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17</v>
      </c>
      <c r="C13" s="58"/>
      <c r="D13" s="123">
        <f>'Forecast - Current'!D13</f>
        <v>0</v>
      </c>
      <c r="E13" s="104">
        <f>500+1073+5867+1000+11867+5707+500</f>
        <v>26514</v>
      </c>
      <c r="F13" s="126">
        <f>'Forecast - Current'!E13</f>
        <v>0</v>
      </c>
      <c r="G13" s="104">
        <f>5214+15250+14237+10293+4615</f>
        <v>49609</v>
      </c>
      <c r="H13" s="126">
        <f>'Forecast - Current'!F13</f>
        <v>0</v>
      </c>
      <c r="I13" s="104"/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76123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18</v>
      </c>
      <c r="C15" s="58">
        <f>'Forecast - Current'!C15</f>
        <v>36650</v>
      </c>
      <c r="D15" s="123">
        <f>'Forecast - Current'!D15</f>
        <v>1070</v>
      </c>
      <c r="E15" s="104">
        <f>35+120+45+33+30+20+35+10682+20+49+1843+15+15+20+20+189+9037+25+750+1477+35</f>
        <v>24495</v>
      </c>
      <c r="F15" s="126">
        <f>'Forecast - Current'!E15</f>
        <v>1070</v>
      </c>
      <c r="G15" s="104">
        <f>30+25+130+45+33+30+5+45+15+46+30+2855+2000+25+36+10+1221+670+5+20+80+30+500+35+10+300+504</f>
        <v>8735</v>
      </c>
      <c r="H15" s="126">
        <f>'Forecast - Current'!F15</f>
        <v>1070</v>
      </c>
      <c r="I15" s="104"/>
      <c r="J15" s="126">
        <f>'Forecast - Current'!G15</f>
        <v>1070</v>
      </c>
      <c r="K15" s="104"/>
      <c r="L15" s="126">
        <f>'Forecast - Current'!H15</f>
        <v>1070</v>
      </c>
      <c r="M15" s="104"/>
      <c r="N15" s="126">
        <f>'Forecast - Current'!I15</f>
        <v>1070</v>
      </c>
      <c r="O15" s="104"/>
      <c r="P15" s="126">
        <f>'Forecast - Current'!J15</f>
        <v>1070</v>
      </c>
      <c r="Q15" s="104"/>
      <c r="R15" s="126">
        <f>'Forecast - Current'!K15</f>
        <v>1070</v>
      </c>
      <c r="S15" s="104"/>
      <c r="T15" s="126">
        <f>'Forecast - Current'!L15</f>
        <v>1070</v>
      </c>
      <c r="U15" s="104"/>
      <c r="V15" s="126">
        <f>'Forecast - Current'!M15</f>
        <v>24870</v>
      </c>
      <c r="W15" s="104"/>
      <c r="X15" s="126">
        <f>'Forecast - Current'!N15</f>
        <v>1070</v>
      </c>
      <c r="Y15" s="104"/>
      <c r="Z15" s="126">
        <f>'Forecast - Current'!O15</f>
        <v>1080</v>
      </c>
      <c r="AA15" s="105"/>
      <c r="AB15" s="120">
        <f t="shared" si="0"/>
        <v>33230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19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19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20</v>
      </c>
      <c r="C20" s="58">
        <f>'Forecast - Current'!C20</f>
        <v>33137</v>
      </c>
      <c r="D20" s="124">
        <f>'Forecast - Current'!D20</f>
        <v>378</v>
      </c>
      <c r="E20" s="106">
        <v>378</v>
      </c>
      <c r="F20" s="127">
        <f>'Forecast - Current'!E20</f>
        <v>20018</v>
      </c>
      <c r="G20" s="106">
        <v>20018</v>
      </c>
      <c r="H20" s="127">
        <f>'Forecast - Current'!F20</f>
        <v>12741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20396</v>
      </c>
      <c r="AC20" s="1"/>
    </row>
    <row r="21" spans="1:29" s="46" customFormat="1" ht="15.75" thickBot="1" x14ac:dyDescent="0.25">
      <c r="A21" s="45"/>
      <c r="B21" s="112" t="s">
        <v>21</v>
      </c>
      <c r="C21" s="113">
        <f>'Forecast - Current'!C21</f>
        <v>6454398</v>
      </c>
      <c r="D21" s="114">
        <f>'Forecast - Current'!D21</f>
        <v>495063</v>
      </c>
      <c r="E21" s="115">
        <f>SUM(E7:E20)</f>
        <v>532057</v>
      </c>
      <c r="F21" s="116">
        <f>'Forecast - Current'!E21</f>
        <v>531663</v>
      </c>
      <c r="G21" s="115">
        <f>SUM(G7:G20)</f>
        <v>590867</v>
      </c>
      <c r="H21" s="116">
        <f>'Forecast - Current'!F21</f>
        <v>523670</v>
      </c>
      <c r="I21" s="115">
        <f>SUM(I7:I20)</f>
        <v>0</v>
      </c>
      <c r="J21" s="116">
        <f>'Forecast - Current'!G21</f>
        <v>482193</v>
      </c>
      <c r="K21" s="115">
        <f>SUM(K7:K20)</f>
        <v>0</v>
      </c>
      <c r="L21" s="116">
        <f>'Forecast - Current'!H21</f>
        <v>511645</v>
      </c>
      <c r="M21" s="115">
        <f>SUM(M7:M20)</f>
        <v>0</v>
      </c>
      <c r="N21" s="116">
        <f>'Forecast - Current'!I21</f>
        <v>497370</v>
      </c>
      <c r="O21" s="115">
        <f>SUM(O7:O20)</f>
        <v>0</v>
      </c>
      <c r="P21" s="116">
        <f>'Forecast - Current'!J21</f>
        <v>507475</v>
      </c>
      <c r="Q21" s="115">
        <f>SUM(Q7:Q20)</f>
        <v>0</v>
      </c>
      <c r="R21" s="116">
        <f>'Forecast - Current'!K21</f>
        <v>517891</v>
      </c>
      <c r="S21" s="115">
        <f>SUM(S7:S20)</f>
        <v>0</v>
      </c>
      <c r="T21" s="116">
        <f>'Forecast - Current'!L21</f>
        <v>827590</v>
      </c>
      <c r="U21" s="115">
        <f>SUM(U7:U20)</f>
        <v>0</v>
      </c>
      <c r="V21" s="116">
        <f>'Forecast - Current'!M21</f>
        <v>516618</v>
      </c>
      <c r="W21" s="115">
        <f>SUM(W7:W20)</f>
        <v>0</v>
      </c>
      <c r="X21" s="116">
        <f>'Forecast - Current'!N21</f>
        <v>561014</v>
      </c>
      <c r="Y21" s="115">
        <f>SUM(Y7:Y20)</f>
        <v>0</v>
      </c>
      <c r="Z21" s="116">
        <f>'Forecast - Current'!O21</f>
        <v>482203</v>
      </c>
      <c r="AA21" s="117">
        <f>SUM(AA7:AA20)</f>
        <v>0</v>
      </c>
      <c r="AB21" s="118">
        <f t="shared" si="0"/>
        <v>1122924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2</v>
      </c>
      <c r="D23" s="19" t="s">
        <v>36</v>
      </c>
      <c r="E23" s="59" t="s">
        <v>63</v>
      </c>
      <c r="F23" s="18" t="s">
        <v>37</v>
      </c>
      <c r="G23" s="59" t="s">
        <v>62</v>
      </c>
      <c r="H23" s="18" t="s">
        <v>38</v>
      </c>
      <c r="I23" s="59" t="s">
        <v>51</v>
      </c>
      <c r="J23" s="18" t="s">
        <v>39</v>
      </c>
      <c r="K23" s="59" t="s">
        <v>61</v>
      </c>
      <c r="L23" s="18" t="s">
        <v>40</v>
      </c>
      <c r="M23" s="59" t="s">
        <v>60</v>
      </c>
      <c r="N23" s="18" t="s">
        <v>41</v>
      </c>
      <c r="O23" s="59" t="s">
        <v>59</v>
      </c>
      <c r="P23" s="18" t="s">
        <v>42</v>
      </c>
      <c r="Q23" s="59" t="s">
        <v>58</v>
      </c>
      <c r="R23" s="18" t="s">
        <v>43</v>
      </c>
      <c r="S23" s="59" t="s">
        <v>57</v>
      </c>
      <c r="T23" s="18" t="s">
        <v>44</v>
      </c>
      <c r="U23" s="59" t="s">
        <v>56</v>
      </c>
      <c r="V23" s="18" t="s">
        <v>45</v>
      </c>
      <c r="W23" s="59" t="s">
        <v>55</v>
      </c>
      <c r="X23" s="18" t="s">
        <v>46</v>
      </c>
      <c r="Y23" s="59" t="s">
        <v>54</v>
      </c>
      <c r="Z23" s="18" t="s">
        <v>47</v>
      </c>
      <c r="AA23" s="60" t="s">
        <v>53</v>
      </c>
      <c r="AB23" s="61" t="s">
        <v>52</v>
      </c>
      <c r="AC23" s="15"/>
    </row>
    <row r="24" spans="1:29" x14ac:dyDescent="0.2">
      <c r="A24" s="1"/>
      <c r="B24" s="34" t="s">
        <v>22</v>
      </c>
      <c r="C24" s="185"/>
      <c r="D24" s="187"/>
      <c r="E24" s="183"/>
      <c r="F24" s="189"/>
      <c r="G24" s="183"/>
      <c r="H24" s="191"/>
      <c r="I24" s="183"/>
      <c r="J24" s="189"/>
      <c r="K24" s="183"/>
      <c r="L24" s="189"/>
      <c r="M24" s="183"/>
      <c r="N24" s="191"/>
      <c r="O24" s="183"/>
      <c r="P24" s="191"/>
      <c r="Q24" s="183"/>
      <c r="R24" s="189"/>
      <c r="S24" s="183"/>
      <c r="T24" s="189"/>
      <c r="U24" s="183"/>
      <c r="V24" s="189"/>
      <c r="W24" s="183"/>
      <c r="X24" s="189"/>
      <c r="Y24" s="183"/>
      <c r="Z24" s="189"/>
      <c r="AA24" s="201"/>
      <c r="AB24" s="195"/>
      <c r="AC24" s="1"/>
    </row>
    <row r="25" spans="1:29" ht="9.9499999999999993" customHeight="1" thickBot="1" x14ac:dyDescent="0.25">
      <c r="A25" s="1"/>
      <c r="B25" s="35"/>
      <c r="C25" s="186"/>
      <c r="D25" s="188"/>
      <c r="E25" s="184"/>
      <c r="F25" s="190"/>
      <c r="G25" s="184"/>
      <c r="H25" s="192"/>
      <c r="I25" s="184"/>
      <c r="J25" s="190"/>
      <c r="K25" s="184"/>
      <c r="L25" s="190"/>
      <c r="M25" s="184"/>
      <c r="N25" s="192"/>
      <c r="O25" s="184"/>
      <c r="P25" s="192"/>
      <c r="Q25" s="184"/>
      <c r="R25" s="190"/>
      <c r="S25" s="184"/>
      <c r="T25" s="190"/>
      <c r="U25" s="184"/>
      <c r="V25" s="190"/>
      <c r="W25" s="184"/>
      <c r="X25" s="190"/>
      <c r="Y25" s="184"/>
      <c r="Z25" s="190"/>
      <c r="AA25" s="202"/>
      <c r="AB25" s="196"/>
      <c r="AC25" s="1"/>
    </row>
    <row r="26" spans="1:29" x14ac:dyDescent="0.2">
      <c r="A26" s="1"/>
      <c r="B26" s="36" t="s">
        <v>23</v>
      </c>
      <c r="C26" s="68">
        <f>'Forecast - Current'!C26</f>
        <v>5395966</v>
      </c>
      <c r="D26" s="47">
        <f>'Forecast - Current'!D26</f>
        <v>449664</v>
      </c>
      <c r="E26" s="102">
        <f>55060+1722+28134+100549+1548+240037+110</f>
        <v>427160</v>
      </c>
      <c r="F26" s="125">
        <f>'Forecast - Current'!E26</f>
        <v>449664</v>
      </c>
      <c r="G26" s="102">
        <f>60957+774+2236+1164+28933+894+109139+253783+110</f>
        <v>457990</v>
      </c>
      <c r="H26" s="125">
        <f>'Forecast - Current'!F26</f>
        <v>449664</v>
      </c>
      <c r="I26" s="102"/>
      <c r="J26" s="125">
        <f>'Forecast - Current'!G26</f>
        <v>449664</v>
      </c>
      <c r="K26" s="102"/>
      <c r="L26" s="125">
        <f>'Forecast - Current'!H26</f>
        <v>449664</v>
      </c>
      <c r="M26" s="102"/>
      <c r="N26" s="125">
        <f>'Forecast - Current'!I26</f>
        <v>449664</v>
      </c>
      <c r="O26" s="102"/>
      <c r="P26" s="125">
        <f>'Forecast - Current'!J26</f>
        <v>449664</v>
      </c>
      <c r="Q26" s="102"/>
      <c r="R26" s="125">
        <f>'Forecast - Current'!K26</f>
        <v>449664</v>
      </c>
      <c r="S26" s="102"/>
      <c r="T26" s="125">
        <f>'Forecast - Current'!L26</f>
        <v>449664</v>
      </c>
      <c r="U26" s="102"/>
      <c r="V26" s="125">
        <f>'Forecast - Current'!M26</f>
        <v>449664</v>
      </c>
      <c r="W26" s="102"/>
      <c r="X26" s="125">
        <f>'Forecast - Current'!N26</f>
        <v>449664</v>
      </c>
      <c r="Y26" s="102"/>
      <c r="Z26" s="125">
        <f>'Forecast - Current'!O26</f>
        <v>449662</v>
      </c>
      <c r="AA26" s="103"/>
      <c r="AB26" s="65">
        <f>E26+G26+I26+K26+M26+O26+Q26+S26+U26+W26+Y26+AA26</f>
        <v>885150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25</v>
      </c>
      <c r="C28" s="69">
        <f>'Forecast - Current'!C28</f>
        <v>0</v>
      </c>
      <c r="D28" s="47">
        <f>'Forecast - Current'!D28</f>
        <v>0</v>
      </c>
      <c r="E28" s="104">
        <f>2776+586</f>
        <v>3362</v>
      </c>
      <c r="F28" s="125">
        <f>'Forecast - Current'!E28</f>
        <v>0</v>
      </c>
      <c r="G28" s="104">
        <f>2625+344+1250+11433+335+3250</f>
        <v>19237</v>
      </c>
      <c r="H28" s="125">
        <f>'Forecast - Current'!F28</f>
        <v>0</v>
      </c>
      <c r="I28" s="104"/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22599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24</v>
      </c>
      <c r="C30" s="69">
        <f>'Forecast - Current'!C30</f>
        <v>1150759</v>
      </c>
      <c r="D30" s="47">
        <f>'Forecast - Current'!D30</f>
        <v>118082</v>
      </c>
      <c r="E30" s="104">
        <f>39+3413+7+300+613+709+787+83269+32514+30</f>
        <v>121681</v>
      </c>
      <c r="F30" s="125">
        <f>'Forecast - Current'!E30</f>
        <v>112889</v>
      </c>
      <c r="G30" s="104">
        <f>3413+5303+7+4943+520+520+407+709+3426+16877+46372+147+122+4</f>
        <v>82770</v>
      </c>
      <c r="H30" s="125">
        <f>'Forecast - Current'!F30</f>
        <v>76643</v>
      </c>
      <c r="I30" s="104"/>
      <c r="J30" s="125">
        <f>'Forecast - Current'!G30</f>
        <v>76643</v>
      </c>
      <c r="K30" s="104"/>
      <c r="L30" s="125">
        <f>'Forecast - Current'!H30</f>
        <v>147889</v>
      </c>
      <c r="M30" s="104"/>
      <c r="N30" s="125">
        <f>'Forecast - Current'!I30</f>
        <v>76643</v>
      </c>
      <c r="O30" s="104"/>
      <c r="P30" s="125">
        <f>'Forecast - Current'!J30</f>
        <v>94328</v>
      </c>
      <c r="Q30" s="104"/>
      <c r="R30" s="125">
        <f>'Forecast - Current'!K30</f>
        <v>111065</v>
      </c>
      <c r="S30" s="104"/>
      <c r="T30" s="125">
        <f>'Forecast - Current'!L30</f>
        <v>86643</v>
      </c>
      <c r="U30" s="104"/>
      <c r="V30" s="125">
        <f>'Forecast - Current'!M30</f>
        <v>86643</v>
      </c>
      <c r="W30" s="104"/>
      <c r="X30" s="125">
        <f>'Forecast - Current'!N30</f>
        <v>86643</v>
      </c>
      <c r="Y30" s="104"/>
      <c r="Z30" s="125">
        <f>'Forecast - Current'!O30</f>
        <v>76648</v>
      </c>
      <c r="AA30" s="105"/>
      <c r="AB30" s="65">
        <f t="shared" si="1"/>
        <v>204451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33</v>
      </c>
      <c r="C32" s="69">
        <f>'Forecast - Current'!C32</f>
        <v>11389</v>
      </c>
      <c r="D32" s="47">
        <f>'Forecast - Current'!D32</f>
        <v>0</v>
      </c>
      <c r="E32" s="104"/>
      <c r="F32" s="125">
        <f>'Forecast - Current'!E32</f>
        <v>0</v>
      </c>
      <c r="G32" s="104"/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5000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6389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34</v>
      </c>
      <c r="C33" s="69">
        <f>'Forecast - Current'!C33</f>
        <v>10547</v>
      </c>
      <c r="D33" s="47">
        <f>'Forecast - Current'!D33</f>
        <v>0</v>
      </c>
      <c r="E33" s="104"/>
      <c r="F33" s="125">
        <f>'Forecast - Current'!E33</f>
        <v>10547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26</v>
      </c>
      <c r="C35" s="69">
        <f>'Forecast - Current'!C35</f>
        <v>11628</v>
      </c>
      <c r="D35" s="47">
        <f>'Forecast - Current'!D35</f>
        <v>11628</v>
      </c>
      <c r="E35" s="104">
        <v>11628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11628</v>
      </c>
      <c r="AC35" s="1"/>
    </row>
    <row r="36" spans="1:29" ht="15.75" thickBot="1" x14ac:dyDescent="0.25">
      <c r="A36" s="1"/>
      <c r="B36" s="31" t="s">
        <v>27</v>
      </c>
      <c r="C36" s="70">
        <f>'Forecast - Current'!C36</f>
        <v>30131</v>
      </c>
      <c r="D36" s="49">
        <f>'Forecast - Current'!D36</f>
        <v>20000</v>
      </c>
      <c r="E36" s="106">
        <f>1702+200+290+400+3200+400+2300+400+1933+139+500+845</f>
        <v>12309</v>
      </c>
      <c r="F36" s="134">
        <f>'Forecast - Current'!E36</f>
        <v>1131</v>
      </c>
      <c r="G36" s="104">
        <f>50+1250+345</f>
        <v>1645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9000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13954</v>
      </c>
      <c r="AC36" s="1"/>
    </row>
    <row r="37" spans="1:29" s="133" customFormat="1" ht="15.75" thickBot="1" x14ac:dyDescent="0.25">
      <c r="A37" s="128"/>
      <c r="B37" s="129" t="s">
        <v>29</v>
      </c>
      <c r="C37" s="130">
        <f>'Forecast - Current'!C37</f>
        <v>6610420</v>
      </c>
      <c r="D37" s="131">
        <f>'Forecast - Current'!D37</f>
        <v>599374</v>
      </c>
      <c r="E37" s="115">
        <f>SUM(E26:E36)</f>
        <v>576140</v>
      </c>
      <c r="F37" s="116">
        <f>'Forecast - Current'!E37</f>
        <v>574231</v>
      </c>
      <c r="G37" s="115">
        <f>SUM(G26:G36)</f>
        <v>561642</v>
      </c>
      <c r="H37" s="116">
        <f>'Forecast - Current'!F37</f>
        <v>526307</v>
      </c>
      <c r="I37" s="115">
        <f>SUM(I26:I36)</f>
        <v>0</v>
      </c>
      <c r="J37" s="116">
        <f>'Forecast - Current'!G37</f>
        <v>526307</v>
      </c>
      <c r="K37" s="115">
        <f>SUM(K26:K36)</f>
        <v>0</v>
      </c>
      <c r="L37" s="116">
        <f>'Forecast - Current'!H37</f>
        <v>611553</v>
      </c>
      <c r="M37" s="115">
        <f>SUM(M26:M36)</f>
        <v>0</v>
      </c>
      <c r="N37" s="116">
        <f>'Forecast - Current'!I37</f>
        <v>526307</v>
      </c>
      <c r="O37" s="115">
        <f>SUM(O26:O36)</f>
        <v>0</v>
      </c>
      <c r="P37" s="116">
        <f>'Forecast - Current'!J37</f>
        <v>543992</v>
      </c>
      <c r="Q37" s="115">
        <f>SUM(Q26:Q36)</f>
        <v>0</v>
      </c>
      <c r="R37" s="116">
        <f>'Forecast - Current'!K37</f>
        <v>560729</v>
      </c>
      <c r="S37" s="115">
        <f>SUM(S26:S36)</f>
        <v>0</v>
      </c>
      <c r="T37" s="116">
        <f>'Forecast - Current'!L37</f>
        <v>536307</v>
      </c>
      <c r="U37" s="115">
        <f>SUM(U26:U36)</f>
        <v>0</v>
      </c>
      <c r="V37" s="116">
        <f>'Forecast - Current'!M37</f>
        <v>536307</v>
      </c>
      <c r="W37" s="115">
        <f>SUM(W26:W36)</f>
        <v>0</v>
      </c>
      <c r="X37" s="116">
        <f>'Forecast - Current'!N37</f>
        <v>542696</v>
      </c>
      <c r="Y37" s="115">
        <f>SUM(Y26:Y36)</f>
        <v>0</v>
      </c>
      <c r="Z37" s="116">
        <f>'Forecast - Current'!O37</f>
        <v>526310</v>
      </c>
      <c r="AA37" s="117">
        <f>SUM(AA26:AA36)</f>
        <v>0</v>
      </c>
      <c r="AB37" s="132">
        <f t="shared" si="1"/>
        <v>1137782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30</v>
      </c>
      <c r="C39" s="55">
        <f>C21-C37</f>
        <v>-156022</v>
      </c>
      <c r="D39" s="52">
        <f t="shared" ref="D39:AB39" si="2">D21-D37</f>
        <v>-104311</v>
      </c>
      <c r="E39" s="55">
        <f t="shared" si="2"/>
        <v>-44083</v>
      </c>
      <c r="F39" s="52">
        <f t="shared" si="2"/>
        <v>-42568</v>
      </c>
      <c r="G39" s="55">
        <f t="shared" si="2"/>
        <v>29225</v>
      </c>
      <c r="H39" s="52">
        <f t="shared" si="2"/>
        <v>-2637</v>
      </c>
      <c r="I39" s="55">
        <f t="shared" si="2"/>
        <v>0</v>
      </c>
      <c r="J39" s="52">
        <f t="shared" si="2"/>
        <v>-44114</v>
      </c>
      <c r="K39" s="55">
        <f t="shared" si="2"/>
        <v>0</v>
      </c>
      <c r="L39" s="52">
        <f t="shared" si="2"/>
        <v>-99908</v>
      </c>
      <c r="M39" s="55">
        <f t="shared" si="2"/>
        <v>0</v>
      </c>
      <c r="N39" s="52">
        <f t="shared" si="2"/>
        <v>-28937</v>
      </c>
      <c r="O39" s="55">
        <f t="shared" si="2"/>
        <v>0</v>
      </c>
      <c r="P39" s="52">
        <f t="shared" si="2"/>
        <v>-36517</v>
      </c>
      <c r="Q39" s="55">
        <f t="shared" si="2"/>
        <v>0</v>
      </c>
      <c r="R39" s="52">
        <f t="shared" si="2"/>
        <v>-42838</v>
      </c>
      <c r="S39" s="55">
        <f t="shared" si="2"/>
        <v>0</v>
      </c>
      <c r="T39" s="52">
        <f t="shared" si="2"/>
        <v>291283</v>
      </c>
      <c r="U39" s="55">
        <f t="shared" si="2"/>
        <v>0</v>
      </c>
      <c r="V39" s="52">
        <f t="shared" si="2"/>
        <v>-19689</v>
      </c>
      <c r="W39" s="55">
        <f t="shared" si="2"/>
        <v>0</v>
      </c>
      <c r="X39" s="52">
        <f t="shared" si="2"/>
        <v>18318</v>
      </c>
      <c r="Y39" s="55">
        <f t="shared" si="2"/>
        <v>0</v>
      </c>
      <c r="Z39" s="52">
        <f t="shared" si="2"/>
        <v>-44107</v>
      </c>
      <c r="AA39" s="55">
        <f t="shared" si="2"/>
        <v>0</v>
      </c>
      <c r="AB39" s="55">
        <f t="shared" si="2"/>
        <v>-14858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28</v>
      </c>
      <c r="C41" s="55">
        <f>'Forecast - Current'!C41</f>
        <v>871620</v>
      </c>
      <c r="D41" s="53">
        <f>C41</f>
        <v>871620</v>
      </c>
      <c r="E41" s="57">
        <f>C41</f>
        <v>871620</v>
      </c>
      <c r="F41" s="54">
        <f>D43</f>
        <v>767309</v>
      </c>
      <c r="G41" s="57">
        <f>E43</f>
        <v>827537</v>
      </c>
      <c r="H41" s="54">
        <f>F43</f>
        <v>724741</v>
      </c>
      <c r="I41" s="57">
        <f t="shared" ref="I41:AA41" si="3">G43</f>
        <v>856762</v>
      </c>
      <c r="J41" s="54">
        <f t="shared" si="3"/>
        <v>722104</v>
      </c>
      <c r="K41" s="57">
        <f t="shared" si="3"/>
        <v>856762</v>
      </c>
      <c r="L41" s="54">
        <f t="shared" si="3"/>
        <v>677990</v>
      </c>
      <c r="M41" s="57">
        <f t="shared" si="3"/>
        <v>856762</v>
      </c>
      <c r="N41" s="54">
        <f t="shared" si="3"/>
        <v>578082</v>
      </c>
      <c r="O41" s="57">
        <f t="shared" si="3"/>
        <v>856762</v>
      </c>
      <c r="P41" s="54">
        <f t="shared" si="3"/>
        <v>549145</v>
      </c>
      <c r="Q41" s="57">
        <f t="shared" si="3"/>
        <v>856762</v>
      </c>
      <c r="R41" s="54">
        <f t="shared" si="3"/>
        <v>512628</v>
      </c>
      <c r="S41" s="57">
        <f t="shared" si="3"/>
        <v>856762</v>
      </c>
      <c r="T41" s="54">
        <f t="shared" si="3"/>
        <v>469790</v>
      </c>
      <c r="U41" s="57">
        <f t="shared" si="3"/>
        <v>856762</v>
      </c>
      <c r="V41" s="54">
        <f t="shared" si="3"/>
        <v>761073</v>
      </c>
      <c r="W41" s="57">
        <f t="shared" si="3"/>
        <v>856762</v>
      </c>
      <c r="X41" s="54">
        <f t="shared" si="3"/>
        <v>741384</v>
      </c>
      <c r="Y41" s="57">
        <f t="shared" si="3"/>
        <v>856762</v>
      </c>
      <c r="Z41" s="54">
        <f t="shared" si="3"/>
        <v>759702</v>
      </c>
      <c r="AA41" s="57">
        <f t="shared" si="3"/>
        <v>856762</v>
      </c>
      <c r="AB41" s="55">
        <f>C41</f>
        <v>871620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31</v>
      </c>
      <c r="C43" s="55">
        <f>C41+C39</f>
        <v>715598</v>
      </c>
      <c r="D43" s="53">
        <f>D41+D39</f>
        <v>767309</v>
      </c>
      <c r="E43" s="56">
        <f>E41+E39</f>
        <v>827537</v>
      </c>
      <c r="F43" s="53">
        <f>F41+F39</f>
        <v>724741</v>
      </c>
      <c r="G43" s="56">
        <f t="shared" ref="G43:AB43" si="4">G41+G39</f>
        <v>856762</v>
      </c>
      <c r="H43" s="53">
        <f t="shared" si="4"/>
        <v>722104</v>
      </c>
      <c r="I43" s="56">
        <f t="shared" si="4"/>
        <v>856762</v>
      </c>
      <c r="J43" s="53">
        <f t="shared" si="4"/>
        <v>677990</v>
      </c>
      <c r="K43" s="56">
        <f t="shared" si="4"/>
        <v>856762</v>
      </c>
      <c r="L43" s="53">
        <f t="shared" si="4"/>
        <v>578082</v>
      </c>
      <c r="M43" s="56">
        <f t="shared" si="4"/>
        <v>856762</v>
      </c>
      <c r="N43" s="53">
        <f t="shared" si="4"/>
        <v>549145</v>
      </c>
      <c r="O43" s="56">
        <f t="shared" si="4"/>
        <v>856762</v>
      </c>
      <c r="P43" s="53">
        <f t="shared" si="4"/>
        <v>512628</v>
      </c>
      <c r="Q43" s="56">
        <f t="shared" si="4"/>
        <v>856762</v>
      </c>
      <c r="R43" s="53">
        <f t="shared" si="4"/>
        <v>469790</v>
      </c>
      <c r="S43" s="56">
        <f t="shared" si="4"/>
        <v>856762</v>
      </c>
      <c r="T43" s="53">
        <f t="shared" si="4"/>
        <v>761073</v>
      </c>
      <c r="U43" s="56">
        <f t="shared" si="4"/>
        <v>856762</v>
      </c>
      <c r="V43" s="53">
        <f t="shared" si="4"/>
        <v>741384</v>
      </c>
      <c r="W43" s="56">
        <f t="shared" si="4"/>
        <v>856762</v>
      </c>
      <c r="X43" s="53">
        <f t="shared" si="4"/>
        <v>759702</v>
      </c>
      <c r="Y43" s="56">
        <f t="shared" si="4"/>
        <v>856762</v>
      </c>
      <c r="Z43" s="53">
        <f t="shared" si="4"/>
        <v>715595</v>
      </c>
      <c r="AA43" s="56">
        <f t="shared" si="4"/>
        <v>856762</v>
      </c>
      <c r="AB43" s="56">
        <f t="shared" si="4"/>
        <v>856762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password="9D59" sheet="1" objects="1" scenarios="1"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C1" workbookViewId="0">
      <selection activeCell="H43" sqref="H43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4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4" t="s">
        <v>49</v>
      </c>
      <c r="C2" s="215"/>
      <c r="D2" s="1"/>
    </row>
    <row r="3" spans="1:9" ht="20.25" thickBot="1" x14ac:dyDescent="0.3">
      <c r="A3" s="1"/>
      <c r="B3" s="216" t="s">
        <v>50</v>
      </c>
      <c r="C3" s="217"/>
      <c r="D3" s="1"/>
      <c r="F3" s="218" t="s">
        <v>67</v>
      </c>
      <c r="G3" s="218"/>
    </row>
    <row r="4" spans="1:9" x14ac:dyDescent="0.2">
      <c r="A4" s="1"/>
      <c r="B4" s="38">
        <v>1</v>
      </c>
      <c r="C4" s="41" t="s">
        <v>81</v>
      </c>
      <c r="D4" s="1"/>
      <c r="F4" s="211"/>
      <c r="G4" s="211"/>
      <c r="H4" s="155" t="s">
        <v>15</v>
      </c>
      <c r="I4" s="156" t="s">
        <v>75</v>
      </c>
    </row>
    <row r="5" spans="1:9" x14ac:dyDescent="0.2">
      <c r="A5" s="1"/>
      <c r="B5" s="39">
        <f t="shared" ref="B5:B28" si="0">B4+1</f>
        <v>2</v>
      </c>
      <c r="C5" s="41" t="s">
        <v>82</v>
      </c>
      <c r="D5" s="1"/>
      <c r="F5" s="207" t="s">
        <v>68</v>
      </c>
      <c r="G5" s="207"/>
      <c r="H5" s="148">
        <v>4040449</v>
      </c>
      <c r="I5" s="147" t="s">
        <v>76</v>
      </c>
    </row>
    <row r="6" spans="1:9" x14ac:dyDescent="0.2">
      <c r="A6" s="1"/>
      <c r="B6" s="39">
        <f t="shared" si="0"/>
        <v>3</v>
      </c>
      <c r="C6" s="40" t="s">
        <v>89</v>
      </c>
      <c r="D6" s="1"/>
      <c r="F6" s="207" t="s">
        <v>69</v>
      </c>
      <c r="G6" s="207"/>
      <c r="H6" s="148">
        <v>117810</v>
      </c>
      <c r="I6" s="147" t="s">
        <v>77</v>
      </c>
    </row>
    <row r="7" spans="1:9" x14ac:dyDescent="0.2">
      <c r="A7" s="1"/>
      <c r="B7" s="39">
        <f t="shared" si="0"/>
        <v>4</v>
      </c>
      <c r="C7" s="40" t="s">
        <v>90</v>
      </c>
      <c r="D7" s="1"/>
      <c r="F7" s="207" t="s">
        <v>70</v>
      </c>
      <c r="G7" s="207"/>
      <c r="H7" s="148">
        <v>1568028</v>
      </c>
      <c r="I7" s="147" t="s">
        <v>78</v>
      </c>
    </row>
    <row r="8" spans="1:9" x14ac:dyDescent="0.2">
      <c r="A8" s="1"/>
      <c r="B8" s="39">
        <f t="shared" si="0"/>
        <v>5</v>
      </c>
      <c r="C8" s="40" t="s">
        <v>91</v>
      </c>
      <c r="D8" s="1"/>
      <c r="F8" s="207" t="s">
        <v>71</v>
      </c>
      <c r="G8" s="207"/>
      <c r="H8" s="148">
        <v>18738</v>
      </c>
      <c r="I8" s="147" t="s">
        <v>79</v>
      </c>
    </row>
    <row r="9" spans="1:9" x14ac:dyDescent="0.2">
      <c r="A9" s="1"/>
      <c r="B9" s="39">
        <f t="shared" si="0"/>
        <v>6</v>
      </c>
      <c r="C9" s="40" t="s">
        <v>93</v>
      </c>
      <c r="D9" s="1"/>
      <c r="F9" s="207" t="s">
        <v>72</v>
      </c>
      <c r="G9" s="207"/>
      <c r="H9" s="148">
        <v>24064</v>
      </c>
      <c r="I9" s="147" t="s">
        <v>13</v>
      </c>
    </row>
    <row r="10" spans="1:9" x14ac:dyDescent="0.2">
      <c r="A10" s="1"/>
      <c r="B10" s="151">
        <f t="shared" si="0"/>
        <v>7</v>
      </c>
      <c r="C10" s="153" t="s">
        <v>104</v>
      </c>
      <c r="D10" s="1"/>
      <c r="F10" s="207" t="s">
        <v>73</v>
      </c>
      <c r="G10" s="207"/>
      <c r="H10" s="148">
        <v>34422</v>
      </c>
      <c r="I10" s="147" t="s">
        <v>11</v>
      </c>
    </row>
    <row r="11" spans="1:9" x14ac:dyDescent="0.2">
      <c r="A11" s="1"/>
      <c r="B11" s="39">
        <f t="shared" si="0"/>
        <v>8</v>
      </c>
      <c r="C11" s="40" t="s">
        <v>116</v>
      </c>
      <c r="D11" s="1"/>
      <c r="F11" s="207" t="s">
        <v>74</v>
      </c>
      <c r="G11" s="207"/>
      <c r="H11" s="148">
        <v>18907</v>
      </c>
      <c r="I11" s="147" t="s">
        <v>80</v>
      </c>
    </row>
    <row r="12" spans="1:9" x14ac:dyDescent="0.2">
      <c r="A12" s="1"/>
      <c r="B12" s="39">
        <f t="shared" si="0"/>
        <v>9</v>
      </c>
      <c r="C12" s="40"/>
      <c r="D12" s="1"/>
      <c r="F12" s="208" t="s">
        <v>15</v>
      </c>
      <c r="G12" s="208"/>
      <c r="H12" s="149">
        <f>SUM(H5:H11)</f>
        <v>5822418</v>
      </c>
    </row>
    <row r="13" spans="1:9" x14ac:dyDescent="0.2">
      <c r="A13" s="1"/>
      <c r="B13" s="39">
        <f t="shared" si="0"/>
        <v>10</v>
      </c>
      <c r="C13" s="40"/>
      <c r="D13" s="1"/>
      <c r="H13" s="145"/>
    </row>
    <row r="14" spans="1:9" x14ac:dyDescent="0.2">
      <c r="A14" s="1"/>
      <c r="B14" s="39">
        <f t="shared" si="0"/>
        <v>11</v>
      </c>
      <c r="C14" s="40"/>
      <c r="D14" s="1"/>
      <c r="F14" s="212" t="s">
        <v>83</v>
      </c>
      <c r="G14" s="212"/>
      <c r="H14" s="212"/>
    </row>
    <row r="15" spans="1:9" x14ac:dyDescent="0.2">
      <c r="A15" s="1"/>
      <c r="B15" s="39">
        <f t="shared" si="0"/>
        <v>12</v>
      </c>
      <c r="C15" s="40"/>
      <c r="D15" s="1"/>
      <c r="F15" s="211"/>
      <c r="G15" s="211"/>
      <c r="H15" s="155" t="s">
        <v>15</v>
      </c>
      <c r="I15" s="156" t="s">
        <v>75</v>
      </c>
    </row>
    <row r="16" spans="1:9" ht="45" x14ac:dyDescent="0.2">
      <c r="A16" s="1"/>
      <c r="B16" s="39">
        <f t="shared" si="0"/>
        <v>13</v>
      </c>
      <c r="C16" s="40"/>
      <c r="D16" s="1"/>
      <c r="F16" s="213" t="s">
        <v>84</v>
      </c>
      <c r="G16" s="213"/>
      <c r="H16" s="150">
        <v>60718</v>
      </c>
      <c r="I16" s="151" t="s">
        <v>87</v>
      </c>
    </row>
    <row r="17" spans="1:11" ht="45" x14ac:dyDescent="0.2">
      <c r="A17" s="1"/>
      <c r="B17" s="39">
        <f t="shared" si="0"/>
        <v>14</v>
      </c>
      <c r="C17" s="40"/>
      <c r="D17" s="1"/>
      <c r="F17" s="213" t="s">
        <v>85</v>
      </c>
      <c r="G17" s="213"/>
      <c r="H17" s="150">
        <v>25500</v>
      </c>
      <c r="I17" s="151" t="s">
        <v>88</v>
      </c>
    </row>
    <row r="18" spans="1:11" x14ac:dyDescent="0.2">
      <c r="A18" s="1"/>
      <c r="B18" s="39">
        <f t="shared" si="0"/>
        <v>15</v>
      </c>
      <c r="C18" s="40"/>
      <c r="D18" s="1"/>
      <c r="F18" s="213" t="s">
        <v>86</v>
      </c>
      <c r="G18" s="213"/>
      <c r="H18" s="150">
        <v>310975</v>
      </c>
      <c r="I18" s="152" t="s">
        <v>11</v>
      </c>
    </row>
    <row r="19" spans="1:11" x14ac:dyDescent="0.2">
      <c r="A19" s="1"/>
      <c r="B19" s="39">
        <f t="shared" si="0"/>
        <v>16</v>
      </c>
      <c r="C19" s="40"/>
      <c r="D19" s="1"/>
      <c r="F19" s="208" t="s">
        <v>15</v>
      </c>
      <c r="G19" s="208"/>
      <c r="H19" s="149">
        <f>SUM(H16:H18)</f>
        <v>397193</v>
      </c>
    </row>
    <row r="20" spans="1:11" x14ac:dyDescent="0.2">
      <c r="A20" s="1"/>
      <c r="B20" s="39">
        <f t="shared" si="0"/>
        <v>17</v>
      </c>
      <c r="C20" s="40"/>
      <c r="D20" s="1"/>
    </row>
    <row r="21" spans="1:11" x14ac:dyDescent="0.2">
      <c r="A21" s="1"/>
      <c r="B21" s="39">
        <f t="shared" si="0"/>
        <v>18</v>
      </c>
      <c r="C21" s="40"/>
      <c r="D21" s="1"/>
      <c r="F21" s="212" t="s">
        <v>117</v>
      </c>
      <c r="G21" s="212"/>
      <c r="H21" s="212"/>
      <c r="I21" s="212"/>
    </row>
    <row r="22" spans="1:11" x14ac:dyDescent="0.2">
      <c r="A22" s="1"/>
      <c r="B22" s="39">
        <f t="shared" si="0"/>
        <v>19</v>
      </c>
      <c r="C22" s="40"/>
      <c r="D22" s="1"/>
      <c r="F22" s="211"/>
      <c r="G22" s="211"/>
      <c r="H22" s="155" t="s">
        <v>15</v>
      </c>
      <c r="I22" s="156" t="s">
        <v>75</v>
      </c>
    </row>
    <row r="23" spans="1:11" x14ac:dyDescent="0.2">
      <c r="A23" s="1"/>
      <c r="B23" s="39">
        <f t="shared" si="0"/>
        <v>20</v>
      </c>
      <c r="C23" s="40"/>
      <c r="D23" s="1"/>
      <c r="F23" s="207" t="s">
        <v>94</v>
      </c>
      <c r="G23" s="207"/>
      <c r="H23" s="148">
        <v>-95000</v>
      </c>
      <c r="I23" s="147" t="s">
        <v>95</v>
      </c>
    </row>
    <row r="24" spans="1:11" x14ac:dyDescent="0.2">
      <c r="A24" s="1"/>
      <c r="B24" s="39">
        <f t="shared" si="0"/>
        <v>21</v>
      </c>
      <c r="C24" s="40"/>
      <c r="D24" s="1"/>
      <c r="F24" s="207" t="s">
        <v>96</v>
      </c>
      <c r="G24" s="207"/>
      <c r="H24" s="148">
        <v>-22250</v>
      </c>
      <c r="I24" s="147" t="s">
        <v>97</v>
      </c>
    </row>
    <row r="25" spans="1:11" x14ac:dyDescent="0.2">
      <c r="A25" s="1"/>
      <c r="B25" s="39">
        <f t="shared" si="0"/>
        <v>22</v>
      </c>
      <c r="C25" s="40"/>
      <c r="D25" s="1"/>
      <c r="F25" s="207" t="s">
        <v>98</v>
      </c>
      <c r="G25" s="207"/>
      <c r="H25" s="148">
        <v>-7043</v>
      </c>
      <c r="I25" s="147" t="s">
        <v>97</v>
      </c>
    </row>
    <row r="26" spans="1:11" x14ac:dyDescent="0.2">
      <c r="A26" s="1"/>
      <c r="B26" s="39">
        <f t="shared" si="0"/>
        <v>23</v>
      </c>
      <c r="C26" s="40"/>
      <c r="D26" s="1"/>
      <c r="F26" s="207" t="s">
        <v>99</v>
      </c>
      <c r="G26" s="207"/>
      <c r="H26" s="148">
        <v>-500</v>
      </c>
      <c r="I26" s="147" t="s">
        <v>100</v>
      </c>
    </row>
    <row r="27" spans="1:11" x14ac:dyDescent="0.2">
      <c r="A27" s="1"/>
      <c r="B27" s="39">
        <f t="shared" si="0"/>
        <v>24</v>
      </c>
      <c r="C27" s="40"/>
      <c r="D27" s="1"/>
      <c r="F27" s="207" t="s">
        <v>101</v>
      </c>
      <c r="G27" s="207"/>
      <c r="H27" s="148">
        <v>-21936</v>
      </c>
      <c r="I27" s="147" t="s">
        <v>102</v>
      </c>
      <c r="K27" s="154"/>
    </row>
    <row r="28" spans="1:11" x14ac:dyDescent="0.2">
      <c r="A28" s="1"/>
      <c r="B28" s="39">
        <f t="shared" si="0"/>
        <v>25</v>
      </c>
      <c r="C28" s="40"/>
      <c r="D28" s="1"/>
      <c r="F28" s="208" t="s">
        <v>15</v>
      </c>
      <c r="G28" s="208"/>
      <c r="H28" s="149">
        <f>SUM(H23:H27)</f>
        <v>-146729</v>
      </c>
      <c r="I28" s="3"/>
    </row>
    <row r="29" spans="1:11" x14ac:dyDescent="0.2">
      <c r="A29" s="1"/>
      <c r="B29" s="1"/>
      <c r="C29" s="1"/>
      <c r="D29" s="1"/>
    </row>
    <row r="30" spans="1:11" x14ac:dyDescent="0.2">
      <c r="F30" s="212" t="s">
        <v>105</v>
      </c>
      <c r="G30" s="212"/>
      <c r="H30" s="212"/>
      <c r="I30" s="212"/>
    </row>
    <row r="31" spans="1:11" x14ac:dyDescent="0.2">
      <c r="F31" s="211"/>
      <c r="G31" s="211"/>
      <c r="H31" s="155" t="s">
        <v>15</v>
      </c>
      <c r="I31" s="156" t="s">
        <v>75</v>
      </c>
    </row>
    <row r="32" spans="1:11" x14ac:dyDescent="0.2">
      <c r="F32" s="207" t="s">
        <v>103</v>
      </c>
      <c r="G32" s="207"/>
      <c r="H32" s="148">
        <v>-10000</v>
      </c>
      <c r="I32" s="147"/>
    </row>
    <row r="33" spans="6:9" x14ac:dyDescent="0.2">
      <c r="F33" s="208" t="s">
        <v>15</v>
      </c>
      <c r="G33" s="208"/>
      <c r="H33" s="149">
        <f>SUM(H32:H32)</f>
        <v>-10000</v>
      </c>
      <c r="I33" s="3"/>
    </row>
    <row r="35" spans="6:9" x14ac:dyDescent="0.2">
      <c r="F35" s="212" t="s">
        <v>106</v>
      </c>
      <c r="G35" s="212"/>
      <c r="H35" s="212"/>
      <c r="I35" s="212"/>
    </row>
    <row r="36" spans="6:9" x14ac:dyDescent="0.2">
      <c r="F36" s="211"/>
      <c r="G36" s="211"/>
      <c r="H36" s="146" t="s">
        <v>15</v>
      </c>
      <c r="I36" s="147" t="s">
        <v>75</v>
      </c>
    </row>
    <row r="37" spans="6:9" x14ac:dyDescent="0.2">
      <c r="F37" s="207" t="s">
        <v>107</v>
      </c>
      <c r="G37" s="207"/>
      <c r="H37" s="148">
        <v>30000</v>
      </c>
      <c r="I37" s="147" t="s">
        <v>3</v>
      </c>
    </row>
    <row r="38" spans="6:9" x14ac:dyDescent="0.2">
      <c r="F38" s="207" t="s">
        <v>73</v>
      </c>
      <c r="G38" s="207"/>
      <c r="H38" s="148">
        <v>34422</v>
      </c>
      <c r="I38" s="147" t="s">
        <v>108</v>
      </c>
    </row>
    <row r="39" spans="6:9" x14ac:dyDescent="0.2">
      <c r="F39" s="209" t="s">
        <v>109</v>
      </c>
      <c r="G39" s="210"/>
      <c r="H39" s="148">
        <v>125000</v>
      </c>
      <c r="I39" s="147" t="s">
        <v>115</v>
      </c>
    </row>
    <row r="40" spans="6:9" x14ac:dyDescent="0.2">
      <c r="F40" s="209" t="s">
        <v>71</v>
      </c>
      <c r="G40" s="210"/>
      <c r="H40" s="148">
        <v>18738</v>
      </c>
      <c r="I40" s="147" t="s">
        <v>110</v>
      </c>
    </row>
    <row r="41" spans="6:9" x14ac:dyDescent="0.2">
      <c r="F41" s="207" t="s">
        <v>111</v>
      </c>
      <c r="G41" s="207"/>
      <c r="H41" s="148">
        <v>22878</v>
      </c>
      <c r="I41" s="147" t="s">
        <v>114</v>
      </c>
    </row>
    <row r="42" spans="6:9" x14ac:dyDescent="0.2">
      <c r="F42" s="207" t="s">
        <v>112</v>
      </c>
      <c r="G42" s="207"/>
      <c r="H42" s="148">
        <v>919721</v>
      </c>
      <c r="I42" s="147" t="s">
        <v>113</v>
      </c>
    </row>
    <row r="43" spans="6:9" x14ac:dyDescent="0.2">
      <c r="F43" s="208" t="s">
        <v>15</v>
      </c>
      <c r="G43" s="208"/>
      <c r="H43" s="149">
        <f>SUM(H37:H42)</f>
        <v>1150759</v>
      </c>
      <c r="I43" s="3"/>
    </row>
  </sheetData>
  <mergeCells count="39">
    <mergeCell ref="B2:C2"/>
    <mergeCell ref="B3:C3"/>
    <mergeCell ref="F3:G3"/>
    <mergeCell ref="F5:G5"/>
    <mergeCell ref="F6:G6"/>
    <mergeCell ref="F4:G4"/>
    <mergeCell ref="F12:G12"/>
    <mergeCell ref="F15:G15"/>
    <mergeCell ref="F16:G16"/>
    <mergeCell ref="F17:G17"/>
    <mergeCell ref="F7:G7"/>
    <mergeCell ref="F8:G8"/>
    <mergeCell ref="F9:G9"/>
    <mergeCell ref="F10:G10"/>
    <mergeCell ref="F11:G11"/>
    <mergeCell ref="F19:G19"/>
    <mergeCell ref="F14:H14"/>
    <mergeCell ref="F22:G22"/>
    <mergeCell ref="F23:G23"/>
    <mergeCell ref="F18:G18"/>
    <mergeCell ref="F36:G36"/>
    <mergeCell ref="F33:G33"/>
    <mergeCell ref="F35:I35"/>
    <mergeCell ref="F37:G37"/>
    <mergeCell ref="F21:I21"/>
    <mergeCell ref="F30:I30"/>
    <mergeCell ref="F31:G31"/>
    <mergeCell ref="F32:G32"/>
    <mergeCell ref="F24:G24"/>
    <mergeCell ref="F25:G25"/>
    <mergeCell ref="F26:G26"/>
    <mergeCell ref="F27:G27"/>
    <mergeCell ref="F28:G28"/>
    <mergeCell ref="F38:G38"/>
    <mergeCell ref="F41:G41"/>
    <mergeCell ref="F42:G42"/>
    <mergeCell ref="F43:G43"/>
    <mergeCell ref="F39:G39"/>
    <mergeCell ref="F40:G40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2018-11-15T12:56:57Z</cp:lastPrinted>
  <dcterms:created xsi:type="dcterms:W3CDTF">2018-10-18T12:28:19Z</dcterms:created>
  <dcterms:modified xsi:type="dcterms:W3CDTF">2018-11-22T16:15:22Z</dcterms:modified>
</cp:coreProperties>
</file>