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N:\4 Finance\School Budget Monitoring\2023-24\Cashflow\"/>
    </mc:Choice>
  </mc:AlternateContent>
  <xr:revisionPtr revIDLastSave="0" documentId="13_ncr:1_{FC9F23E4-F30F-4397-96FB-185D86D0119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O30" i="6"/>
  <c r="J30" i="6"/>
  <c r="D30" i="6"/>
  <c r="N30" i="6"/>
  <c r="M30" i="6"/>
  <c r="H30" i="6"/>
  <c r="E30" i="6"/>
  <c r="F30" i="6"/>
  <c r="G30" i="6"/>
  <c r="I30" i="6"/>
  <c r="K30" i="6"/>
  <c r="L30" i="6"/>
  <c r="O26" i="6"/>
  <c r="E26" i="6"/>
  <c r="F26" i="6"/>
  <c r="G26" i="6"/>
  <c r="H26" i="6"/>
  <c r="I26" i="6"/>
  <c r="J26" i="6"/>
  <c r="K26" i="6"/>
  <c r="L26" i="6"/>
  <c r="M26" i="6"/>
  <c r="N26" i="6"/>
  <c r="D26" i="6"/>
  <c r="O15" i="6"/>
  <c r="E15" i="6"/>
  <c r="F15" i="6"/>
  <c r="G15" i="6"/>
  <c r="H15" i="6"/>
  <c r="I15" i="6"/>
  <c r="J15" i="6"/>
  <c r="K15" i="6"/>
  <c r="L15" i="6"/>
  <c r="M15" i="6"/>
  <c r="N15" i="6"/>
  <c r="D15" i="6"/>
  <c r="M9" i="6"/>
  <c r="I9" i="6"/>
  <c r="E9" i="6"/>
  <c r="N7" i="6"/>
  <c r="O7" i="6"/>
  <c r="L7" i="6"/>
  <c r="H7" i="6"/>
  <c r="E7" i="6"/>
  <c r="K7" i="6"/>
  <c r="F7" i="6"/>
  <c r="M7" i="6"/>
  <c r="J7" i="6"/>
  <c r="I7" i="6"/>
  <c r="G7" i="6"/>
  <c r="D7" i="6"/>
  <c r="H41" i="5"/>
  <c r="H20" i="5" l="1"/>
  <c r="H25" i="5" l="1"/>
  <c r="H30" i="5" l="1"/>
  <c r="H14" i="5" l="1"/>
  <c r="E37" i="6" l="1"/>
  <c r="F21" i="6" l="1"/>
  <c r="D37" i="6" l="1"/>
  <c r="F37" i="6"/>
  <c r="C41" i="2" l="1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Y39" i="2" s="1"/>
  <c r="W21" i="2"/>
  <c r="W39" i="2" s="1"/>
  <c r="U21" i="2"/>
  <c r="U39" i="2" s="1"/>
  <c r="S21" i="2"/>
  <c r="Q21" i="2"/>
  <c r="O21" i="2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O39" i="2" l="1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<sst xmlns="http://schemas.openxmlformats.org/spreadsheetml/2006/main" count="190" uniqueCount="106">
  <si>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</si>
  <si>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</si>
  <si>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</si>
  <si>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</si>
  <si>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</si>
  <si>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</si>
  <si>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</si>
  <si>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</si>
  <si>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</si>
  <si>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</si>
  <si>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</si>
  <si>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</si>
  <si>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</si>
  <si>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</si>
  <si>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</si>
  <si>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</si>
  <si>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</si>
  <si>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</si>
  <si>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</si>
  <si>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</si>
  <si>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</si>
  <si>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</si>
  <si>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</si>
  <si>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</si>
  <si>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</si>
  <si>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</si>
  <si>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</si>
  <si>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</si>
  <si>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</si>
  <si>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</si>
  <si>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</si>
  <si>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</si>
  <si>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</si>
  <si>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</si>
  <si>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</si>
  <si>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</si>
  <si>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</si>
  <si>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</si>
  <si>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</si>
  <si>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</si>
  <si>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</si>
  <si>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</si>
  <si>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</si>
  <si>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</si>
  <si>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</si>
  <si>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</si>
  <si>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</si>
  <si>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</si>
  <si>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</si>
  <si>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</si>
  <si>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</si>
  <si>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</si>
  <si>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</si>
  <si>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</si>
  <si>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</si>
  <si>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</si>
  <si>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</si>
  <si>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</si>
  <si>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</si>
  <si>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</si>
  <si>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</si>
  <si>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</si>
  <si>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</si>
  <si>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Pay Grant</t>
  </si>
  <si>
    <t>Pension Grant</t>
  </si>
  <si>
    <t>DFC</t>
  </si>
  <si>
    <t>Rates</t>
  </si>
  <si>
    <t>SEN (Essex)</t>
  </si>
  <si>
    <t>Insurance</t>
  </si>
  <si>
    <t>Exams</t>
  </si>
  <si>
    <t>Salix</t>
  </si>
  <si>
    <t xml:space="preserve">All other </t>
  </si>
  <si>
    <t>ESFA income</t>
  </si>
  <si>
    <t>Local Authorities income</t>
  </si>
  <si>
    <t xml:space="preserve">All other income </t>
  </si>
  <si>
    <t xml:space="preserve">ESFA CIF - </t>
  </si>
  <si>
    <t>ESFA SALIX PSDS</t>
  </si>
  <si>
    <t>Recovery Grant</t>
  </si>
  <si>
    <t xml:space="preserve">Distribution of Expenditure </t>
  </si>
  <si>
    <t>Staffing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</si>
  <si>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</si>
  <si>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School Led tuition Grant</t>
  </si>
  <si>
    <t>SSI Grant</t>
  </si>
  <si>
    <t>Cashflow Forecast 2023-24</t>
  </si>
  <si>
    <t>Cashflow Expected\Actuals 2023-24</t>
  </si>
  <si>
    <t>GAG (inc 16-19 and Bursary)</t>
  </si>
  <si>
    <t>As per ESFA Payment schedule</t>
  </si>
  <si>
    <t>Mainstream Schools Additional Grant</t>
  </si>
  <si>
    <t>ECT Mentor Grant</t>
  </si>
  <si>
    <t>Pupil Premium</t>
  </si>
  <si>
    <t>Other Local Authorities (SEN)</t>
  </si>
  <si>
    <t>June</t>
  </si>
  <si>
    <t>Nov £40,043, May £26,478</t>
  </si>
  <si>
    <t>Nov £75,629, July £54,020</t>
  </si>
  <si>
    <t>Nov £147,887 May £105,633</t>
  </si>
  <si>
    <t>Oct, Jan, Apr, Jul - £49,680</t>
  </si>
  <si>
    <t>Oct, Feb, June - £60,157</t>
  </si>
  <si>
    <t>£11,250 x12</t>
  </si>
  <si>
    <t>£6,208 x12</t>
  </si>
  <si>
    <t>Oct, Jan, Apr, Jul - £13,869</t>
  </si>
  <si>
    <t>Oct, Jan, May £4,612</t>
  </si>
  <si>
    <t>£698,051 x12</t>
  </si>
  <si>
    <t>Sep £10,978, Mar £6,830</t>
  </si>
  <si>
    <t>Oct £25k, Jan £95k, Mar £25k, June £15k, Jul £29,300</t>
  </si>
  <si>
    <t>£127,228 x12</t>
  </si>
  <si>
    <t>Sept £10,000 back pay - Feb, June £1,460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</si>
</sst>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/>
    <xf numFmtId="164" fontId="4" fillId="4" borderId="37" xfId="0" applyNumberFormat="1" applyFont="1" applyFill="1" applyBorder="1"/>
    <xf numFmtId="164" fontId="4" fillId="4" borderId="50" xfId="0" applyNumberFormat="1" applyFont="1" applyFill="1" applyBorder="1"/>
    <xf numFmtId="0" fontId="4" fillId="5" borderId="34" xfId="0" applyFont="1" applyFill="1" applyBorder="1"/>
    <xf numFmtId="164" fontId="4" fillId="5" borderId="22" xfId="0" applyNumberFormat="1" applyFont="1" applyFill="1" applyBorder="1"/>
    <xf numFmtId="164" fontId="4" fillId="5" borderId="23" xfId="0" applyNumberFormat="1" applyFont="1" applyFill="1" applyBorder="1"/>
    <xf numFmtId="164" fontId="4" fillId="5" borderId="55" xfId="0" applyNumberFormat="1" applyFont="1" applyFill="1" applyBorder="1"/>
    <xf numFmtId="164" fontId="4" fillId="3" borderId="32" xfId="0" applyNumberFormat="1" applyFont="1" applyFill="1" applyBorder="1"/>
    <xf numFmtId="164" fontId="1" fillId="3" borderId="35" xfId="0" applyNumberFormat="1" applyFont="1" applyFill="1" applyBorder="1"/>
    <xf numFmtId="164" fontId="1" fillId="3" borderId="16" xfId="0" applyNumberFormat="1" applyFont="1" applyFill="1" applyBorder="1"/>
    <xf numFmtId="164" fontId="1" fillId="3" borderId="47" xfId="0" applyNumberFormat="1" applyFont="1" applyFill="1" applyBorder="1"/>
    <xf numFmtId="164" fontId="4" fillId="5" borderId="3" xfId="0" applyNumberFormat="1" applyFont="1" applyFill="1" applyBorder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/>
    <xf numFmtId="164" fontId="4" fillId="3" borderId="33" xfId="0" applyNumberFormat="1" applyFont="1" applyFill="1" applyBorder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/>
    <xf numFmtId="164" fontId="4" fillId="3" borderId="31" xfId="0" applyNumberFormat="1" applyFont="1" applyFill="1" applyBorder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/>
    <xf numFmtId="0" fontId="5" fillId="9" borderId="8" xfId="0" applyFont="1" applyFill="1" applyBorder="1"/>
    <xf numFmtId="0" fontId="4" fillId="7" borderId="22" xfId="0" applyFont="1" applyFill="1" applyBorder="1"/>
    <xf numFmtId="164" fontId="4" fillId="9" borderId="22" xfId="0" applyNumberFormat="1" applyFont="1" applyFill="1" applyBorder="1"/>
    <xf numFmtId="164" fontId="1" fillId="9" borderId="61" xfId="0" applyNumberFormat="1" applyFont="1" applyFill="1" applyBorder="1"/>
    <xf numFmtId="164" fontId="4" fillId="7" borderId="3" xfId="0" applyNumberFormat="1" applyFont="1" applyFill="1" applyBorder="1"/>
    <xf numFmtId="164" fontId="1" fillId="9" borderId="3" xfId="0" applyNumberFormat="1" applyFont="1" applyFill="1" applyBorder="1"/>
    <xf numFmtId="164" fontId="4" fillId="7" borderId="62" xfId="0" applyNumberFormat="1" applyFont="1" applyFill="1" applyBorder="1"/>
    <xf numFmtId="164" fontId="4" fillId="7" borderId="31" xfId="0" applyNumberFormat="1" applyFont="1" applyFill="1" applyBorder="1"/>
    <xf numFmtId="164" fontId="4" fillId="6" borderId="30" xfId="0" applyNumberFormat="1" applyFont="1" applyFill="1" applyBorder="1"/>
    <xf numFmtId="164" fontId="4" fillId="6" borderId="33" xfId="0" applyNumberFormat="1" applyFont="1" applyFill="1" applyBorder="1"/>
    <xf numFmtId="164" fontId="4" fillId="6" borderId="31" xfId="0" applyNumberFormat="1" applyFont="1" applyFill="1" applyBorder="1"/>
    <xf numFmtId="164" fontId="1" fillId="9" borderId="57" xfId="0" applyNumberFormat="1" applyFont="1" applyFill="1" applyBorder="1"/>
    <xf numFmtId="164" fontId="1" fillId="9" borderId="4" xfId="0" applyNumberFormat="1" applyFont="1" applyFill="1" applyBorder="1"/>
    <xf numFmtId="164" fontId="1" fillId="9" borderId="60" xfId="0" applyNumberFormat="1" applyFont="1" applyFill="1" applyBorder="1"/>
    <xf numFmtId="164" fontId="1" fillId="9" borderId="2" xfId="0" applyNumberFormat="1" applyFont="1" applyFill="1" applyBorder="1"/>
    <xf numFmtId="164" fontId="1" fillId="9" borderId="1" xfId="0" applyNumberFormat="1" applyFont="1" applyFill="1" applyBorder="1"/>
    <xf numFmtId="164" fontId="1" fillId="9" borderId="36" xfId="0" applyNumberFormat="1" applyFont="1" applyFill="1" applyBorder="1"/>
    <xf numFmtId="0" fontId="4" fillId="7" borderId="34" xfId="0" applyFont="1" applyFill="1" applyBorder="1"/>
    <xf numFmtId="164" fontId="4" fillId="9" borderId="11" xfId="0" applyNumberFormat="1" applyFont="1" applyFill="1" applyBorder="1"/>
    <xf numFmtId="164" fontId="1" fillId="9" borderId="23" xfId="0" applyNumberFormat="1" applyFont="1" applyFill="1" applyBorder="1"/>
    <xf numFmtId="164" fontId="4" fillId="7" borderId="22" xfId="0" applyNumberFormat="1" applyFont="1" applyFill="1" applyBorder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center"/>
    </xf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6" fontId="1" fillId="0" borderId="1" xfId="0" applyNumberFormat="1" applyFont="1" applyBorder="1"/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43" xfId="0" applyFont="1" applyBorder="1"/>
    <xf numFmtId="0" fontId="1" fillId="0" borderId="28" xfId="0" applyFont="1" applyBorder="1"/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8" fillId="0" borderId="34" xfId="0" applyFont="1" applyBorder="1" applyAlignment="1" applyProtection="1">
      <alignment horizontal="center" wrapText="1"/>
      <protection hidden="1"/>
    </xf>
    <xf numFmtId="0" fontId="8" fillId="0" borderId="49" xfId="0" applyFont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workbookViewId="0">
      <selection activeCell="D36" sqref="D3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18" t="s">
        <v>83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"/>
    </row>
    <row r="3" spans="1:18" ht="9.9499999999999993" customHeight="1" thickBot="1" x14ac:dyDescent="0.25">
      <c r="A3" s="1"/>
      <c r="B3" s="21"/>
      <c r="Q3" s="22"/>
      <c r="R3" s="1"/>
    </row>
    <row r="4" spans="1:18" ht="30.75" thickBot="1" x14ac:dyDescent="0.25">
      <c r="A4" s="1"/>
      <c r="B4" s="21"/>
      <c r="C4" s="41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9" t="s">
        <v>14</v>
      </c>
      <c r="Q4" s="9" t="s">
        <v>44</v>
      </c>
      <c r="R4" s="1"/>
    </row>
    <row r="5" spans="1:18" x14ac:dyDescent="0.2">
      <c r="A5" s="1"/>
      <c r="B5" s="6" t="s">
        <v>0</v>
      </c>
      <c r="C5" s="162"/>
      <c r="D5" s="170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0"/>
      <c r="P5" s="162"/>
      <c r="Q5" s="164"/>
      <c r="R5" s="1"/>
    </row>
    <row r="6" spans="1:18" ht="9.9499999999999993" customHeight="1" thickBot="1" x14ac:dyDescent="0.25">
      <c r="A6" s="1"/>
      <c r="B6" s="7"/>
      <c r="C6" s="163"/>
      <c r="D6" s="171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1"/>
      <c r="P6" s="163"/>
      <c r="Q6" s="165"/>
      <c r="R6" s="1"/>
    </row>
    <row r="7" spans="1:18" x14ac:dyDescent="0.2">
      <c r="A7" s="1"/>
      <c r="B7" s="10" t="s">
        <v>80</v>
      </c>
      <c r="C7" s="91">
        <v>9657626</v>
      </c>
      <c r="D7" s="92">
        <f>746917</f>
        <v>746917</v>
      </c>
      <c r="E7" s="92">
        <f>739460+49680+13869+4612</f>
        <v>807621</v>
      </c>
      <c r="F7" s="92">
        <f>735635+75629+40043+147887</f>
        <v>999194</v>
      </c>
      <c r="G7" s="92">
        <f>735635</f>
        <v>735635</v>
      </c>
      <c r="H7" s="92">
        <f>735635+49680+13869+4612</f>
        <v>803796</v>
      </c>
      <c r="I7" s="92">
        <f>735635</f>
        <v>735635</v>
      </c>
      <c r="J7" s="92">
        <f>735635</f>
        <v>735635</v>
      </c>
      <c r="K7" s="92">
        <f>743187+49680+13869</f>
        <v>806736</v>
      </c>
      <c r="L7" s="92">
        <f>735635+26478+105633+4612</f>
        <v>872358</v>
      </c>
      <c r="M7" s="92">
        <f>735635+42240</f>
        <v>777875</v>
      </c>
      <c r="N7" s="92">
        <f>735635+49680+54020+32145+13869+3814</f>
        <v>889163</v>
      </c>
      <c r="O7" s="92">
        <f>735639+7500</f>
        <v>743139</v>
      </c>
      <c r="P7" s="97">
        <f>SUM(D7:O7)</f>
        <v>9653704</v>
      </c>
      <c r="Q7" s="127"/>
      <c r="R7" s="1"/>
    </row>
    <row r="8" spans="1:18" ht="9.9499999999999993" customHeight="1" x14ac:dyDescent="0.2">
      <c r="A8" s="1"/>
      <c r="B8" s="3"/>
      <c r="C8" s="85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  <c r="P8" s="90"/>
      <c r="Q8" s="128"/>
      <c r="R8" s="1"/>
    </row>
    <row r="9" spans="1:18" x14ac:dyDescent="0.2">
      <c r="A9" s="1"/>
      <c r="B9" s="5" t="s">
        <v>61</v>
      </c>
      <c r="C9" s="85">
        <v>193392</v>
      </c>
      <c r="D9" s="86">
        <v>10000</v>
      </c>
      <c r="E9" s="87">
        <f>60157</f>
        <v>60157</v>
      </c>
      <c r="F9" s="87"/>
      <c r="G9" s="87"/>
      <c r="H9" s="87"/>
      <c r="I9" s="87">
        <f>60157+1460</f>
        <v>61617</v>
      </c>
      <c r="J9" s="87"/>
      <c r="K9" s="87"/>
      <c r="L9" s="87"/>
      <c r="M9" s="87">
        <f>60157+1461</f>
        <v>61618</v>
      </c>
      <c r="N9" s="87"/>
      <c r="O9" s="88"/>
      <c r="P9" s="90">
        <f>SUM(D9:O9)</f>
        <v>193392</v>
      </c>
      <c r="Q9" s="128"/>
      <c r="R9" s="1"/>
    </row>
    <row r="10" spans="1:18" ht="9.9499999999999993" customHeight="1" x14ac:dyDescent="0.2">
      <c r="A10" s="1"/>
      <c r="B10" s="3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  <c r="P10" s="90"/>
      <c r="Q10" s="128"/>
      <c r="R10" s="1"/>
    </row>
    <row r="11" spans="1:18" x14ac:dyDescent="0.2">
      <c r="A11" s="1"/>
      <c r="B11" s="5" t="s">
        <v>15</v>
      </c>
      <c r="C11" s="85">
        <v>135000</v>
      </c>
      <c r="D11" s="86">
        <v>11250</v>
      </c>
      <c r="E11" s="86">
        <v>11250</v>
      </c>
      <c r="F11" s="86">
        <v>11250</v>
      </c>
      <c r="G11" s="86">
        <v>11250</v>
      </c>
      <c r="H11" s="86">
        <v>11250</v>
      </c>
      <c r="I11" s="86">
        <v>11250</v>
      </c>
      <c r="J11" s="86">
        <v>11250</v>
      </c>
      <c r="K11" s="86">
        <v>11250</v>
      </c>
      <c r="L11" s="86">
        <v>11250</v>
      </c>
      <c r="M11" s="86">
        <v>11250</v>
      </c>
      <c r="N11" s="86">
        <v>11250</v>
      </c>
      <c r="O11" s="86">
        <v>11250</v>
      </c>
      <c r="P11" s="90">
        <f>SUM(D11:O11)</f>
        <v>135000</v>
      </c>
      <c r="Q11" s="128"/>
      <c r="R11" s="1"/>
    </row>
    <row r="12" spans="1:18" ht="9.9499999999999993" customHeight="1" x14ac:dyDescent="0.2">
      <c r="A12" s="1"/>
      <c r="B12" s="3"/>
      <c r="C12" s="85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90"/>
      <c r="Q12" s="128"/>
      <c r="R12" s="1"/>
    </row>
    <row r="13" spans="1:18" x14ac:dyDescent="0.2">
      <c r="A13" s="1"/>
      <c r="B13" s="5" t="s">
        <v>16</v>
      </c>
      <c r="C13" s="85">
        <v>0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90">
        <f>SUM(D13:O13)</f>
        <v>0</v>
      </c>
      <c r="Q13" s="128"/>
      <c r="R13" s="1"/>
    </row>
    <row r="14" spans="1:18" ht="9.9499999999999993" customHeight="1" x14ac:dyDescent="0.2">
      <c r="A14" s="1"/>
      <c r="B14" s="3"/>
      <c r="C14" s="85"/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90"/>
      <c r="Q14" s="128"/>
      <c r="R14" s="1"/>
    </row>
    <row r="15" spans="1:18" x14ac:dyDescent="0.2">
      <c r="A15" s="1"/>
      <c r="B15" s="5" t="s">
        <v>17</v>
      </c>
      <c r="C15" s="85">
        <v>74500</v>
      </c>
      <c r="D15" s="86">
        <f>6208</f>
        <v>6208</v>
      </c>
      <c r="E15" s="86">
        <f>6208</f>
        <v>6208</v>
      </c>
      <c r="F15" s="86">
        <f>6208</f>
        <v>6208</v>
      </c>
      <c r="G15" s="86">
        <f>6208</f>
        <v>6208</v>
      </c>
      <c r="H15" s="86">
        <f>6208</f>
        <v>6208</v>
      </c>
      <c r="I15" s="86">
        <f>6208</f>
        <v>6208</v>
      </c>
      <c r="J15" s="86">
        <f>6208</f>
        <v>6208</v>
      </c>
      <c r="K15" s="86">
        <f>6208</f>
        <v>6208</v>
      </c>
      <c r="L15" s="86">
        <f>6208</f>
        <v>6208</v>
      </c>
      <c r="M15" s="86">
        <f>6208</f>
        <v>6208</v>
      </c>
      <c r="N15" s="86">
        <f>6208</f>
        <v>6208</v>
      </c>
      <c r="O15" s="86">
        <f>6212</f>
        <v>6212</v>
      </c>
      <c r="P15" s="90">
        <f>SUM(D15:O15)</f>
        <v>74500</v>
      </c>
      <c r="Q15" s="128"/>
      <c r="R15" s="1"/>
    </row>
    <row r="16" spans="1:18" ht="9.9499999999999993" customHeight="1" x14ac:dyDescent="0.2">
      <c r="A16" s="1"/>
      <c r="B16" s="3"/>
      <c r="C16" s="85"/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  <c r="P16" s="90"/>
      <c r="Q16" s="128"/>
      <c r="R16" s="1"/>
    </row>
    <row r="17" spans="1:18" x14ac:dyDescent="0.2">
      <c r="A17" s="1"/>
      <c r="B17" s="134" t="s">
        <v>18</v>
      </c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90">
        <f>SUM(D17:O17)</f>
        <v>0</v>
      </c>
      <c r="Q17" s="128"/>
      <c r="R17" s="1"/>
    </row>
    <row r="18" spans="1:18" x14ac:dyDescent="0.2">
      <c r="A18" s="1"/>
      <c r="B18" s="134" t="s">
        <v>18</v>
      </c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90">
        <f>SUM(D18:O18)</f>
        <v>0</v>
      </c>
      <c r="Q18" s="128"/>
      <c r="R18" s="1"/>
    </row>
    <row r="19" spans="1:18" ht="9.9499999999999993" customHeight="1" x14ac:dyDescent="0.2">
      <c r="A19" s="1"/>
      <c r="B19" s="3"/>
      <c r="C19" s="85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90"/>
      <c r="Q19" s="128"/>
      <c r="R19" s="1"/>
    </row>
    <row r="20" spans="1:18" ht="15.75" thickBot="1" x14ac:dyDescent="0.25">
      <c r="A20" s="1"/>
      <c r="B20" s="5" t="s">
        <v>19</v>
      </c>
      <c r="C20" s="93">
        <v>4343</v>
      </c>
      <c r="D20" s="94">
        <v>4343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98">
        <f>SUM(D20:O20)</f>
        <v>4343</v>
      </c>
      <c r="Q20" s="129"/>
      <c r="R20" s="1"/>
    </row>
    <row r="21" spans="1:18" ht="15.75" thickBot="1" x14ac:dyDescent="0.25">
      <c r="A21" s="1"/>
      <c r="B21" s="69" t="s">
        <v>20</v>
      </c>
      <c r="C21" s="71">
        <f>SUM(C7:C20)</f>
        <v>10064861</v>
      </c>
      <c r="D21" s="72">
        <f t="shared" ref="D21:O21" si="0">SUM(D7:D20)</f>
        <v>778718</v>
      </c>
      <c r="E21" s="72">
        <f t="shared" si="0"/>
        <v>885236</v>
      </c>
      <c r="F21" s="72">
        <f t="shared" si="0"/>
        <v>1016652</v>
      </c>
      <c r="G21" s="72">
        <f t="shared" si="0"/>
        <v>753093</v>
      </c>
      <c r="H21" s="72">
        <f t="shared" si="0"/>
        <v>821254</v>
      </c>
      <c r="I21" s="72">
        <f t="shared" si="0"/>
        <v>814710</v>
      </c>
      <c r="J21" s="72">
        <f t="shared" si="0"/>
        <v>753093</v>
      </c>
      <c r="K21" s="72">
        <f t="shared" si="0"/>
        <v>824194</v>
      </c>
      <c r="L21" s="72">
        <f t="shared" si="0"/>
        <v>889816</v>
      </c>
      <c r="M21" s="72">
        <f t="shared" si="0"/>
        <v>856951</v>
      </c>
      <c r="N21" s="72">
        <f t="shared" si="0"/>
        <v>906621</v>
      </c>
      <c r="O21" s="73">
        <f t="shared" si="0"/>
        <v>760601</v>
      </c>
      <c r="P21" s="71">
        <f>SUM(D21:O21)</f>
        <v>10060939</v>
      </c>
      <c r="Q21" s="130"/>
      <c r="R21" s="1"/>
    </row>
    <row r="22" spans="1:18" ht="9.9499999999999993" customHeight="1" thickBot="1" x14ac:dyDescent="0.25">
      <c r="A22" s="1"/>
      <c r="B22" s="2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5"/>
      <c r="Q22" s="25"/>
      <c r="R22" s="1"/>
    </row>
    <row r="23" spans="1:18" ht="30.75" thickBot="1" x14ac:dyDescent="0.25">
      <c r="A23" s="1"/>
      <c r="B23" s="26"/>
      <c r="C23" s="42" t="s">
        <v>1</v>
      </c>
      <c r="D23" s="40" t="s">
        <v>2</v>
      </c>
      <c r="E23" s="8" t="s">
        <v>3</v>
      </c>
      <c r="F23" s="8" t="s">
        <v>4</v>
      </c>
      <c r="G23" s="8" t="s">
        <v>5</v>
      </c>
      <c r="H23" s="8" t="s">
        <v>6</v>
      </c>
      <c r="I23" s="8" t="s">
        <v>7</v>
      </c>
      <c r="J23" s="8" t="s">
        <v>8</v>
      </c>
      <c r="K23" s="8" t="s">
        <v>9</v>
      </c>
      <c r="L23" s="8" t="s">
        <v>10</v>
      </c>
      <c r="M23" s="8" t="s">
        <v>11</v>
      </c>
      <c r="N23" s="8" t="s">
        <v>12</v>
      </c>
      <c r="O23" s="8" t="s">
        <v>13</v>
      </c>
      <c r="P23" s="9" t="s">
        <v>14</v>
      </c>
      <c r="Q23" s="9" t="s">
        <v>44</v>
      </c>
      <c r="R23" s="1"/>
    </row>
    <row r="24" spans="1:18" x14ac:dyDescent="0.2">
      <c r="A24" s="1"/>
      <c r="B24" s="11" t="s">
        <v>21</v>
      </c>
      <c r="C24" s="152"/>
      <c r="D24" s="16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8"/>
      <c r="P24" s="152"/>
      <c r="Q24" s="154"/>
      <c r="R24" s="1"/>
    </row>
    <row r="25" spans="1:18" ht="9.9499999999999993" customHeight="1" thickBot="1" x14ac:dyDescent="0.25">
      <c r="A25" s="1"/>
      <c r="B25" s="4"/>
      <c r="C25" s="153"/>
      <c r="D25" s="16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9"/>
      <c r="P25" s="153"/>
      <c r="Q25" s="155"/>
      <c r="R25" s="1"/>
    </row>
    <row r="26" spans="1:18" x14ac:dyDescent="0.2">
      <c r="A26" s="1"/>
      <c r="B26" s="12" t="s">
        <v>22</v>
      </c>
      <c r="C26" s="83">
        <v>8376620</v>
      </c>
      <c r="D26" s="84">
        <f>698051</f>
        <v>698051</v>
      </c>
      <c r="E26" s="84">
        <f t="shared" ref="E26:N26" si="1">698051</f>
        <v>698051</v>
      </c>
      <c r="F26" s="84">
        <f t="shared" si="1"/>
        <v>698051</v>
      </c>
      <c r="G26" s="84">
        <f t="shared" si="1"/>
        <v>698051</v>
      </c>
      <c r="H26" s="84">
        <f t="shared" si="1"/>
        <v>698051</v>
      </c>
      <c r="I26" s="84">
        <f t="shared" si="1"/>
        <v>698051</v>
      </c>
      <c r="J26" s="84">
        <f t="shared" si="1"/>
        <v>698051</v>
      </c>
      <c r="K26" s="84">
        <f t="shared" si="1"/>
        <v>698051</v>
      </c>
      <c r="L26" s="84">
        <f t="shared" si="1"/>
        <v>698051</v>
      </c>
      <c r="M26" s="84">
        <f t="shared" si="1"/>
        <v>698051</v>
      </c>
      <c r="N26" s="84">
        <f t="shared" si="1"/>
        <v>698051</v>
      </c>
      <c r="O26" s="84">
        <f>698059</f>
        <v>698059</v>
      </c>
      <c r="P26" s="89">
        <f>SUM(D26:O26)</f>
        <v>8376620</v>
      </c>
      <c r="Q26" s="131"/>
      <c r="R26" s="1"/>
    </row>
    <row r="27" spans="1:18" ht="9.9499999999999993" customHeight="1" x14ac:dyDescent="0.2">
      <c r="A27" s="1"/>
      <c r="B27" s="5"/>
      <c r="C27" s="85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90"/>
      <c r="Q27" s="128"/>
      <c r="R27" s="1"/>
    </row>
    <row r="28" spans="1:18" x14ac:dyDescent="0.2">
      <c r="A28" s="1"/>
      <c r="B28" s="5" t="s">
        <v>24</v>
      </c>
      <c r="C28" s="85">
        <v>0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9">
        <f>SUM(D28:O28)</f>
        <v>0</v>
      </c>
      <c r="Q28" s="128"/>
      <c r="R28" s="1"/>
    </row>
    <row r="29" spans="1:18" ht="9.9499999999999993" customHeight="1" x14ac:dyDescent="0.2">
      <c r="A29" s="1"/>
      <c r="B29" s="5"/>
      <c r="C29" s="85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  <c r="P29" s="90"/>
      <c r="Q29" s="128"/>
      <c r="R29" s="1"/>
    </row>
    <row r="30" spans="1:18" x14ac:dyDescent="0.2">
      <c r="A30" s="1"/>
      <c r="B30" s="5" t="s">
        <v>23</v>
      </c>
      <c r="C30" s="85">
        <v>1770354</v>
      </c>
      <c r="D30" s="86">
        <f>127228+10978</f>
        <v>138206</v>
      </c>
      <c r="E30" s="86">
        <f>127228+36500+25000</f>
        <v>188728</v>
      </c>
      <c r="F30" s="86">
        <f t="shared" ref="F30:L30" si="2">127228</f>
        <v>127228</v>
      </c>
      <c r="G30" s="86">
        <f t="shared" si="2"/>
        <v>127228</v>
      </c>
      <c r="H30" s="86">
        <f>127228+95000</f>
        <v>222228</v>
      </c>
      <c r="I30" s="86">
        <f t="shared" si="2"/>
        <v>127228</v>
      </c>
      <c r="J30" s="86">
        <f>127228+25000+6830</f>
        <v>159058</v>
      </c>
      <c r="K30" s="86">
        <f t="shared" si="2"/>
        <v>127228</v>
      </c>
      <c r="L30" s="86">
        <f t="shared" si="2"/>
        <v>127228</v>
      </c>
      <c r="M30" s="86">
        <f>127228+15000</f>
        <v>142228</v>
      </c>
      <c r="N30" s="86">
        <f>127228+29300</f>
        <v>156528</v>
      </c>
      <c r="O30" s="86">
        <f>127228+10</f>
        <v>127238</v>
      </c>
      <c r="P30" s="89">
        <f>SUM(D30:O30)</f>
        <v>1770354</v>
      </c>
      <c r="Q30" s="128"/>
      <c r="R30" s="1"/>
    </row>
    <row r="31" spans="1:18" ht="9.9499999999999993" customHeight="1" x14ac:dyDescent="0.2">
      <c r="A31" s="1"/>
      <c r="B31" s="5"/>
      <c r="C31" s="85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  <c r="P31" s="90"/>
      <c r="Q31" s="128"/>
      <c r="R31" s="1"/>
    </row>
    <row r="32" spans="1:18" x14ac:dyDescent="0.2">
      <c r="A32" s="1"/>
      <c r="B32" s="135" t="s">
        <v>75</v>
      </c>
      <c r="C32" s="85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89">
        <f>SUM(D32:O32)</f>
        <v>0</v>
      </c>
      <c r="Q32" s="128"/>
      <c r="R32" s="1"/>
    </row>
    <row r="33" spans="1:18" x14ac:dyDescent="0.2">
      <c r="A33" s="1"/>
      <c r="B33" s="135" t="s">
        <v>75</v>
      </c>
      <c r="C33" s="8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89">
        <f>SUM(D33:O33)</f>
        <v>0</v>
      </c>
      <c r="Q33" s="128"/>
      <c r="R33" s="1"/>
    </row>
    <row r="34" spans="1:18" ht="9.9499999999999993" customHeight="1" x14ac:dyDescent="0.2">
      <c r="A34" s="1"/>
      <c r="B34" s="5"/>
      <c r="C34" s="85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90"/>
      <c r="Q34" s="128"/>
      <c r="R34" s="1"/>
    </row>
    <row r="35" spans="1:18" x14ac:dyDescent="0.2">
      <c r="A35" s="1"/>
      <c r="B35" s="5" t="s">
        <v>25</v>
      </c>
      <c r="C35" s="85">
        <v>54177</v>
      </c>
      <c r="D35" s="86">
        <v>54177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89">
        <f>SUM(D35:O35)</f>
        <v>54177</v>
      </c>
      <c r="Q35" s="128"/>
      <c r="R35" s="1"/>
    </row>
    <row r="36" spans="1:18" ht="15.75" thickBot="1" x14ac:dyDescent="0.25">
      <c r="A36" s="1"/>
      <c r="B36" s="5" t="s">
        <v>26</v>
      </c>
      <c r="C36" s="85">
        <v>54378</v>
      </c>
      <c r="D36" s="86">
        <v>54378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9">
        <f>SUM(D36:O36)</f>
        <v>54378</v>
      </c>
      <c r="Q36" s="128"/>
      <c r="R36" s="1"/>
    </row>
    <row r="37" spans="1:18" ht="15.75" thickBot="1" x14ac:dyDescent="0.25">
      <c r="A37" s="1"/>
      <c r="B37" s="74" t="s">
        <v>28</v>
      </c>
      <c r="C37" s="75">
        <f>SUM(C26:C36)</f>
        <v>10255529</v>
      </c>
      <c r="D37" s="76">
        <f t="shared" ref="D37:O37" si="3">SUM(D26:D36)</f>
        <v>944812</v>
      </c>
      <c r="E37" s="76">
        <f t="shared" si="3"/>
        <v>886779</v>
      </c>
      <c r="F37" s="76">
        <f t="shared" si="3"/>
        <v>825279</v>
      </c>
      <c r="G37" s="76">
        <f t="shared" si="3"/>
        <v>825279</v>
      </c>
      <c r="H37" s="76">
        <f t="shared" si="3"/>
        <v>920279</v>
      </c>
      <c r="I37" s="76">
        <f t="shared" si="3"/>
        <v>825279</v>
      </c>
      <c r="J37" s="76">
        <f t="shared" si="3"/>
        <v>857109</v>
      </c>
      <c r="K37" s="76">
        <f t="shared" si="3"/>
        <v>825279</v>
      </c>
      <c r="L37" s="76">
        <f t="shared" si="3"/>
        <v>825279</v>
      </c>
      <c r="M37" s="76">
        <f t="shared" si="3"/>
        <v>840279</v>
      </c>
      <c r="N37" s="76">
        <f t="shared" si="3"/>
        <v>854579</v>
      </c>
      <c r="O37" s="77">
        <f t="shared" si="3"/>
        <v>825297</v>
      </c>
      <c r="P37" s="75">
        <f>SUM(D37:O37)</f>
        <v>10255529</v>
      </c>
      <c r="Q37" s="132"/>
      <c r="R37" s="1"/>
    </row>
    <row r="38" spans="1:18" ht="9.9499999999999993" customHeight="1" thickBot="1" x14ac:dyDescent="0.25">
      <c r="A38" s="1"/>
      <c r="B38" s="3"/>
      <c r="C38" s="78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78"/>
      <c r="Q38" s="133"/>
      <c r="R38" s="1"/>
    </row>
    <row r="39" spans="1:18" ht="15.75" thickBot="1" x14ac:dyDescent="0.25">
      <c r="A39" s="1"/>
      <c r="B39" s="74" t="s">
        <v>29</v>
      </c>
      <c r="C39" s="75">
        <f>C21-C37</f>
        <v>-190668</v>
      </c>
      <c r="D39" s="75">
        <f>D21-D37</f>
        <v>-166094</v>
      </c>
      <c r="E39" s="75">
        <f t="shared" ref="E39:P39" si="4">E21-E37</f>
        <v>-1543</v>
      </c>
      <c r="F39" s="75">
        <f t="shared" si="4"/>
        <v>191373</v>
      </c>
      <c r="G39" s="75">
        <f t="shared" si="4"/>
        <v>-72186</v>
      </c>
      <c r="H39" s="75">
        <f t="shared" si="4"/>
        <v>-99025</v>
      </c>
      <c r="I39" s="75">
        <f t="shared" si="4"/>
        <v>-10569</v>
      </c>
      <c r="J39" s="75">
        <f t="shared" si="4"/>
        <v>-104016</v>
      </c>
      <c r="K39" s="75">
        <f t="shared" si="4"/>
        <v>-1085</v>
      </c>
      <c r="L39" s="75">
        <f t="shared" si="4"/>
        <v>64537</v>
      </c>
      <c r="M39" s="75">
        <f t="shared" si="4"/>
        <v>16672</v>
      </c>
      <c r="N39" s="75">
        <f t="shared" si="4"/>
        <v>52042</v>
      </c>
      <c r="O39" s="75">
        <f t="shared" si="4"/>
        <v>-64696</v>
      </c>
      <c r="P39" s="75">
        <f t="shared" si="4"/>
        <v>-194590</v>
      </c>
      <c r="Q39" s="132"/>
      <c r="R39" s="1"/>
    </row>
    <row r="40" spans="1:18" ht="9.9499999999999993" customHeight="1" thickBot="1" x14ac:dyDescent="0.25">
      <c r="A40" s="1"/>
      <c r="B40" s="3"/>
      <c r="C40" s="78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  <c r="P40" s="78"/>
      <c r="Q40" s="133"/>
      <c r="R40" s="1"/>
    </row>
    <row r="41" spans="1:18" ht="15.75" thickBot="1" x14ac:dyDescent="0.25">
      <c r="A41" s="1"/>
      <c r="B41" s="74" t="s">
        <v>27</v>
      </c>
      <c r="C41" s="70">
        <v>913063</v>
      </c>
      <c r="D41" s="76">
        <f>C41</f>
        <v>913063</v>
      </c>
      <c r="E41" s="82">
        <f>D41+D39</f>
        <v>746969</v>
      </c>
      <c r="F41" s="82">
        <f t="shared" ref="F41:O41" si="5">E41+E39</f>
        <v>745426</v>
      </c>
      <c r="G41" s="82">
        <f t="shared" si="5"/>
        <v>936799</v>
      </c>
      <c r="H41" s="82">
        <f t="shared" si="5"/>
        <v>864613</v>
      </c>
      <c r="I41" s="82">
        <f t="shared" si="5"/>
        <v>765588</v>
      </c>
      <c r="J41" s="82">
        <f t="shared" si="5"/>
        <v>755019</v>
      </c>
      <c r="K41" s="82">
        <f t="shared" si="5"/>
        <v>651003</v>
      </c>
      <c r="L41" s="82">
        <f t="shared" si="5"/>
        <v>649918</v>
      </c>
      <c r="M41" s="82">
        <f t="shared" si="5"/>
        <v>714455</v>
      </c>
      <c r="N41" s="82">
        <f t="shared" si="5"/>
        <v>731127</v>
      </c>
      <c r="O41" s="82">
        <f t="shared" si="5"/>
        <v>783169</v>
      </c>
      <c r="P41" s="70"/>
      <c r="Q41" s="132"/>
      <c r="R41" s="1"/>
    </row>
    <row r="42" spans="1:18" ht="9.9499999999999993" customHeight="1" thickBot="1" x14ac:dyDescent="0.25">
      <c r="A42" s="1"/>
      <c r="B42" s="3"/>
      <c r="C42" s="78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1"/>
      <c r="P42" s="78"/>
      <c r="Q42" s="133"/>
      <c r="R42" s="1"/>
    </row>
    <row r="43" spans="1:18" ht="15.75" thickBot="1" x14ac:dyDescent="0.25">
      <c r="A43" s="1"/>
      <c r="B43" s="74" t="s">
        <v>30</v>
      </c>
      <c r="C43" s="75">
        <f>C41+C39</f>
        <v>722395</v>
      </c>
      <c r="D43" s="75">
        <f t="shared" ref="D43:O43" si="6">D41+D39</f>
        <v>746969</v>
      </c>
      <c r="E43" s="75">
        <f t="shared" si="6"/>
        <v>745426</v>
      </c>
      <c r="F43" s="75">
        <f t="shared" si="6"/>
        <v>936799</v>
      </c>
      <c r="G43" s="75">
        <f t="shared" si="6"/>
        <v>864613</v>
      </c>
      <c r="H43" s="75">
        <f t="shared" si="6"/>
        <v>765588</v>
      </c>
      <c r="I43" s="75">
        <f t="shared" si="6"/>
        <v>755019</v>
      </c>
      <c r="J43" s="75">
        <f t="shared" si="6"/>
        <v>651003</v>
      </c>
      <c r="K43" s="75">
        <f t="shared" si="6"/>
        <v>649918</v>
      </c>
      <c r="L43" s="75">
        <f t="shared" si="6"/>
        <v>714455</v>
      </c>
      <c r="M43" s="75">
        <f t="shared" si="6"/>
        <v>731127</v>
      </c>
      <c r="N43" s="75">
        <f t="shared" si="6"/>
        <v>783169</v>
      </c>
      <c r="O43" s="75">
        <f t="shared" si="6"/>
        <v>718473</v>
      </c>
      <c r="P43" s="75">
        <f>O43</f>
        <v>718473</v>
      </c>
      <c r="Q43" s="132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3" sqref="G43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27" width="9.77734375" style="2" customWidth="1"/>
    <col min="28" max="28" width="12.109375" style="44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3"/>
      <c r="AC1" s="1"/>
    </row>
    <row r="2" spans="1:29" ht="15.75" customHeight="1" x14ac:dyDescent="0.2">
      <c r="A2" s="1"/>
      <c r="B2" s="174" t="s">
        <v>84</v>
      </c>
      <c r="C2" s="17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60"/>
      <c r="AC2" s="1"/>
    </row>
    <row r="3" spans="1:29" ht="15.75" thickBot="1" x14ac:dyDescent="0.25">
      <c r="A3" s="1"/>
      <c r="B3" s="21"/>
      <c r="AB3" s="61"/>
      <c r="AC3" s="1"/>
    </row>
    <row r="4" spans="1:29" s="15" customFormat="1" ht="29.25" thickBot="1" x14ac:dyDescent="0.25">
      <c r="A4" s="13"/>
      <c r="B4" s="23"/>
      <c r="C4" s="14" t="s">
        <v>1</v>
      </c>
      <c r="D4" s="17" t="s">
        <v>32</v>
      </c>
      <c r="E4" s="57" t="s">
        <v>59</v>
      </c>
      <c r="F4" s="16" t="s">
        <v>33</v>
      </c>
      <c r="G4" s="57" t="s">
        <v>58</v>
      </c>
      <c r="H4" s="16" t="s">
        <v>34</v>
      </c>
      <c r="I4" s="57" t="s">
        <v>47</v>
      </c>
      <c r="J4" s="16" t="s">
        <v>35</v>
      </c>
      <c r="K4" s="57" t="s">
        <v>57</v>
      </c>
      <c r="L4" s="16" t="s">
        <v>36</v>
      </c>
      <c r="M4" s="57" t="s">
        <v>56</v>
      </c>
      <c r="N4" s="16" t="s">
        <v>37</v>
      </c>
      <c r="O4" s="57" t="s">
        <v>55</v>
      </c>
      <c r="P4" s="16" t="s">
        <v>38</v>
      </c>
      <c r="Q4" s="57" t="s">
        <v>54</v>
      </c>
      <c r="R4" s="16" t="s">
        <v>39</v>
      </c>
      <c r="S4" s="57" t="s">
        <v>53</v>
      </c>
      <c r="T4" s="16" t="s">
        <v>40</v>
      </c>
      <c r="U4" s="57" t="s">
        <v>52</v>
      </c>
      <c r="V4" s="16" t="s">
        <v>41</v>
      </c>
      <c r="W4" s="57" t="s">
        <v>51</v>
      </c>
      <c r="X4" s="16" t="s">
        <v>42</v>
      </c>
      <c r="Y4" s="57" t="s">
        <v>50</v>
      </c>
      <c r="Z4" s="16" t="s">
        <v>43</v>
      </c>
      <c r="AA4" s="58" t="s">
        <v>49</v>
      </c>
      <c r="AB4" s="59" t="s">
        <v>48</v>
      </c>
      <c r="AC4" s="13"/>
    </row>
    <row r="5" spans="1:29" x14ac:dyDescent="0.2">
      <c r="A5" s="1"/>
      <c r="B5" s="30" t="s">
        <v>0</v>
      </c>
      <c r="C5" s="198"/>
      <c r="D5" s="200"/>
      <c r="E5" s="176"/>
      <c r="F5" s="172"/>
      <c r="G5" s="176"/>
      <c r="H5" s="188"/>
      <c r="I5" s="176"/>
      <c r="J5" s="172"/>
      <c r="K5" s="176"/>
      <c r="L5" s="172"/>
      <c r="M5" s="176"/>
      <c r="N5" s="188"/>
      <c r="O5" s="176"/>
      <c r="P5" s="188"/>
      <c r="Q5" s="176"/>
      <c r="R5" s="172"/>
      <c r="S5" s="176"/>
      <c r="T5" s="172"/>
      <c r="U5" s="176"/>
      <c r="V5" s="172"/>
      <c r="W5" s="176"/>
      <c r="X5" s="172"/>
      <c r="Y5" s="176"/>
      <c r="Z5" s="172"/>
      <c r="AA5" s="194"/>
      <c r="AB5" s="192"/>
      <c r="AC5" s="1"/>
    </row>
    <row r="6" spans="1:29" ht="9.9499999999999993" customHeight="1" thickBot="1" x14ac:dyDescent="0.25">
      <c r="A6" s="1"/>
      <c r="B6" s="31"/>
      <c r="C6" s="199"/>
      <c r="D6" s="201"/>
      <c r="E6" s="177"/>
      <c r="F6" s="173"/>
      <c r="G6" s="177"/>
      <c r="H6" s="189"/>
      <c r="I6" s="177"/>
      <c r="J6" s="173"/>
      <c r="K6" s="177"/>
      <c r="L6" s="173"/>
      <c r="M6" s="177"/>
      <c r="N6" s="189"/>
      <c r="O6" s="177"/>
      <c r="P6" s="189"/>
      <c r="Q6" s="177"/>
      <c r="R6" s="173"/>
      <c r="S6" s="177"/>
      <c r="T6" s="173"/>
      <c r="U6" s="177"/>
      <c r="V6" s="173"/>
      <c r="W6" s="177"/>
      <c r="X6" s="173"/>
      <c r="Y6" s="177"/>
      <c r="Z6" s="173"/>
      <c r="AA6" s="195"/>
      <c r="AB6" s="193"/>
      <c r="AC6" s="1"/>
    </row>
    <row r="7" spans="1:29" x14ac:dyDescent="0.2">
      <c r="A7" s="1"/>
      <c r="B7" s="105" t="s">
        <v>60</v>
      </c>
      <c r="C7" s="56">
        <f>'Forecast - Current'!C7</f>
        <v>9657626</v>
      </c>
      <c r="D7" s="117">
        <f>'Forecast - Current'!D7</f>
        <v>746917</v>
      </c>
      <c r="E7" s="99">
        <v>780408</v>
      </c>
      <c r="F7" s="120">
        <f>'Forecast - Current'!E7</f>
        <v>807621</v>
      </c>
      <c r="G7" s="99">
        <v>813059</v>
      </c>
      <c r="H7" s="120">
        <f>'Forecast - Current'!F7</f>
        <v>999194</v>
      </c>
      <c r="I7" s="99"/>
      <c r="J7" s="120">
        <f>'Forecast - Current'!G7</f>
        <v>735635</v>
      </c>
      <c r="K7" s="99"/>
      <c r="L7" s="120">
        <f>'Forecast - Current'!H7</f>
        <v>803796</v>
      </c>
      <c r="M7" s="99"/>
      <c r="N7" s="120">
        <f>'Forecast - Current'!I7</f>
        <v>735635</v>
      </c>
      <c r="O7" s="99"/>
      <c r="P7" s="120">
        <f>'Forecast - Current'!J7</f>
        <v>735635</v>
      </c>
      <c r="Q7" s="99"/>
      <c r="R7" s="120">
        <f>'Forecast - Current'!K7</f>
        <v>806736</v>
      </c>
      <c r="S7" s="99"/>
      <c r="T7" s="120">
        <f>'Forecast - Current'!L7</f>
        <v>872358</v>
      </c>
      <c r="U7" s="99"/>
      <c r="V7" s="120">
        <f>'Forecast - Current'!M7</f>
        <v>777875</v>
      </c>
      <c r="W7" s="99"/>
      <c r="X7" s="120">
        <f>'Forecast - Current'!N7</f>
        <v>889163</v>
      </c>
      <c r="Y7" s="99"/>
      <c r="Z7" s="120">
        <f>'Forecast - Current'!O7</f>
        <v>743139</v>
      </c>
      <c r="AA7" s="100"/>
      <c r="AB7" s="114">
        <f>E7+G7+I7+K7+M7+O7+Q7+S7+U7+W7+Y7+AA7</f>
        <v>1593467</v>
      </c>
      <c r="AC7" s="1"/>
    </row>
    <row r="8" spans="1:29" ht="9.9499999999999993" customHeight="1" x14ac:dyDescent="0.2">
      <c r="A8" s="1"/>
      <c r="B8" s="28"/>
      <c r="C8" s="56"/>
      <c r="D8" s="118"/>
      <c r="E8" s="101"/>
      <c r="F8" s="121"/>
      <c r="G8" s="101"/>
      <c r="H8" s="121"/>
      <c r="I8" s="101"/>
      <c r="J8" s="121"/>
      <c r="K8" s="101"/>
      <c r="L8" s="121"/>
      <c r="M8" s="101"/>
      <c r="N8" s="121"/>
      <c r="O8" s="101"/>
      <c r="P8" s="121"/>
      <c r="Q8" s="101"/>
      <c r="R8" s="121"/>
      <c r="S8" s="101"/>
      <c r="T8" s="121"/>
      <c r="U8" s="101"/>
      <c r="V8" s="121"/>
      <c r="W8" s="101"/>
      <c r="X8" s="121"/>
      <c r="Y8" s="101"/>
      <c r="Z8" s="121"/>
      <c r="AA8" s="102"/>
      <c r="AB8" s="115"/>
      <c r="AC8" s="1"/>
    </row>
    <row r="9" spans="1:29" x14ac:dyDescent="0.2">
      <c r="A9" s="1"/>
      <c r="B9" s="29" t="s">
        <v>31</v>
      </c>
      <c r="C9" s="56">
        <f>'Forecast - Current'!C9</f>
        <v>193392</v>
      </c>
      <c r="D9" s="118">
        <f>'Forecast - Current'!D9</f>
        <v>10000</v>
      </c>
      <c r="E9" s="101">
        <v>10573</v>
      </c>
      <c r="F9" s="121">
        <f>'Forecast - Current'!E9</f>
        <v>60157</v>
      </c>
      <c r="G9" s="101">
        <v>0</v>
      </c>
      <c r="H9" s="121">
        <f>'Forecast - Current'!F9</f>
        <v>0</v>
      </c>
      <c r="I9" s="101"/>
      <c r="J9" s="121">
        <f>'Forecast - Current'!G9</f>
        <v>0</v>
      </c>
      <c r="K9" s="101"/>
      <c r="L9" s="121">
        <f>'Forecast - Current'!H9</f>
        <v>0</v>
      </c>
      <c r="M9" s="101"/>
      <c r="N9" s="121">
        <f>'Forecast - Current'!I9</f>
        <v>61617</v>
      </c>
      <c r="O9" s="101"/>
      <c r="P9" s="121">
        <f>'Forecast - Current'!J9</f>
        <v>0</v>
      </c>
      <c r="Q9" s="101"/>
      <c r="R9" s="121">
        <f>'Forecast - Current'!K9</f>
        <v>0</v>
      </c>
      <c r="S9" s="101"/>
      <c r="T9" s="121">
        <f>'Forecast - Current'!L9</f>
        <v>0</v>
      </c>
      <c r="U9" s="101"/>
      <c r="V9" s="121">
        <f>'Forecast - Current'!M9</f>
        <v>61618</v>
      </c>
      <c r="W9" s="101"/>
      <c r="X9" s="121">
        <f>'Forecast - Current'!N9</f>
        <v>0</v>
      </c>
      <c r="Y9" s="101"/>
      <c r="Z9" s="121">
        <f>'Forecast - Current'!O9</f>
        <v>0</v>
      </c>
      <c r="AA9" s="102"/>
      <c r="AB9" s="115">
        <f t="shared" ref="AB9:AB21" si="0">E9+G9+I9+K9+M9+O9+Q9+S9+U9+W9+Y9+AA9</f>
        <v>10573</v>
      </c>
      <c r="AC9" s="1"/>
    </row>
    <row r="10" spans="1:29" ht="9.9499999999999993" customHeight="1" x14ac:dyDescent="0.2">
      <c r="A10" s="1"/>
      <c r="B10" s="28"/>
      <c r="C10" s="56"/>
      <c r="D10" s="118"/>
      <c r="E10" s="101"/>
      <c r="F10" s="121"/>
      <c r="G10" s="101"/>
      <c r="H10" s="121"/>
      <c r="I10" s="101"/>
      <c r="J10" s="121"/>
      <c r="K10" s="101"/>
      <c r="L10" s="121"/>
      <c r="M10" s="101"/>
      <c r="N10" s="121"/>
      <c r="O10" s="101"/>
      <c r="P10" s="121"/>
      <c r="Q10" s="101"/>
      <c r="R10" s="121"/>
      <c r="S10" s="101"/>
      <c r="T10" s="121"/>
      <c r="U10" s="101"/>
      <c r="V10" s="121"/>
      <c r="W10" s="101"/>
      <c r="X10" s="121"/>
      <c r="Y10" s="101"/>
      <c r="Z10" s="121"/>
      <c r="AA10" s="102"/>
      <c r="AB10" s="115"/>
      <c r="AC10" s="1"/>
    </row>
    <row r="11" spans="1:29" x14ac:dyDescent="0.2">
      <c r="A11" s="1"/>
      <c r="B11" s="29" t="s">
        <v>15</v>
      </c>
      <c r="C11" s="56">
        <f>'Forecast - Current'!C11</f>
        <v>135000</v>
      </c>
      <c r="D11" s="118">
        <f>'Forecast - Current'!D11</f>
        <v>11250</v>
      </c>
      <c r="E11" s="101">
        <v>11543</v>
      </c>
      <c r="F11" s="121">
        <f>'Forecast - Current'!E11</f>
        <v>11250</v>
      </c>
      <c r="G11" s="101">
        <v>22642</v>
      </c>
      <c r="H11" s="121">
        <f>'Forecast - Current'!F11</f>
        <v>11250</v>
      </c>
      <c r="I11" s="101"/>
      <c r="J11" s="121">
        <f>'Forecast - Current'!G11</f>
        <v>11250</v>
      </c>
      <c r="K11" s="101"/>
      <c r="L11" s="121">
        <f>'Forecast - Current'!H11</f>
        <v>11250</v>
      </c>
      <c r="M11" s="101"/>
      <c r="N11" s="121">
        <f>'Forecast - Current'!I11</f>
        <v>11250</v>
      </c>
      <c r="O11" s="101"/>
      <c r="P11" s="121">
        <f>'Forecast - Current'!J11</f>
        <v>11250</v>
      </c>
      <c r="Q11" s="101"/>
      <c r="R11" s="121">
        <f>'Forecast - Current'!K11</f>
        <v>11250</v>
      </c>
      <c r="S11" s="101"/>
      <c r="T11" s="121">
        <f>'Forecast - Current'!L11</f>
        <v>11250</v>
      </c>
      <c r="U11" s="101"/>
      <c r="V11" s="121">
        <f>'Forecast - Current'!M11</f>
        <v>11250</v>
      </c>
      <c r="W11" s="101"/>
      <c r="X11" s="121">
        <f>'Forecast - Current'!N11</f>
        <v>11250</v>
      </c>
      <c r="Y11" s="101"/>
      <c r="Z11" s="121">
        <f>'Forecast - Current'!O11</f>
        <v>11250</v>
      </c>
      <c r="AA11" s="102"/>
      <c r="AB11" s="115">
        <f t="shared" si="0"/>
        <v>34185</v>
      </c>
      <c r="AC11" s="1"/>
    </row>
    <row r="12" spans="1:29" ht="9.9499999999999993" customHeight="1" x14ac:dyDescent="0.2">
      <c r="A12" s="1"/>
      <c r="B12" s="28"/>
      <c r="C12" s="56"/>
      <c r="D12" s="118"/>
      <c r="E12" s="101"/>
      <c r="F12" s="121"/>
      <c r="G12" s="101"/>
      <c r="H12" s="121"/>
      <c r="I12" s="101"/>
      <c r="J12" s="121"/>
      <c r="K12" s="101"/>
      <c r="L12" s="121"/>
      <c r="M12" s="101"/>
      <c r="N12" s="121"/>
      <c r="O12" s="101"/>
      <c r="P12" s="121"/>
      <c r="Q12" s="101"/>
      <c r="R12" s="121"/>
      <c r="S12" s="101"/>
      <c r="T12" s="121"/>
      <c r="U12" s="101"/>
      <c r="V12" s="121"/>
      <c r="W12" s="101"/>
      <c r="X12" s="121"/>
      <c r="Y12" s="101"/>
      <c r="Z12" s="121"/>
      <c r="AA12" s="102"/>
      <c r="AB12" s="115"/>
      <c r="AC12" s="1"/>
    </row>
    <row r="13" spans="1:29" x14ac:dyDescent="0.2">
      <c r="A13" s="1"/>
      <c r="B13" s="29" t="s">
        <v>16</v>
      </c>
      <c r="C13" s="56"/>
      <c r="D13" s="118">
        <f>'Forecast - Current'!D13</f>
        <v>0</v>
      </c>
      <c r="E13" s="101">
        <v>938</v>
      </c>
      <c r="F13" s="121">
        <f>'Forecast - Current'!E13</f>
        <v>0</v>
      </c>
      <c r="G13" s="101">
        <v>24821</v>
      </c>
      <c r="H13" s="121">
        <f>'Forecast - Current'!F13</f>
        <v>0</v>
      </c>
      <c r="I13" s="101"/>
      <c r="J13" s="121">
        <f>'Forecast - Current'!G13</f>
        <v>0</v>
      </c>
      <c r="K13" s="101"/>
      <c r="L13" s="121">
        <f>'Forecast - Current'!H13</f>
        <v>0</v>
      </c>
      <c r="M13" s="101"/>
      <c r="N13" s="121">
        <f>'Forecast - Current'!I13</f>
        <v>0</v>
      </c>
      <c r="O13" s="101"/>
      <c r="P13" s="121">
        <f>'Forecast - Current'!J13</f>
        <v>0</v>
      </c>
      <c r="Q13" s="101"/>
      <c r="R13" s="121">
        <f>'Forecast - Current'!K13</f>
        <v>0</v>
      </c>
      <c r="S13" s="101"/>
      <c r="T13" s="121">
        <f>'Forecast - Current'!L13</f>
        <v>0</v>
      </c>
      <c r="U13" s="101"/>
      <c r="V13" s="121">
        <f>'Forecast - Current'!M13</f>
        <v>0</v>
      </c>
      <c r="W13" s="101"/>
      <c r="X13" s="121">
        <f>'Forecast - Current'!N13</f>
        <v>0</v>
      </c>
      <c r="Y13" s="101"/>
      <c r="Z13" s="121">
        <f>'Forecast - Current'!O13</f>
        <v>0</v>
      </c>
      <c r="AA13" s="102"/>
      <c r="AB13" s="115">
        <f t="shared" si="0"/>
        <v>25759</v>
      </c>
      <c r="AC13" s="1"/>
    </row>
    <row r="14" spans="1:29" ht="9.9499999999999993" customHeight="1" x14ac:dyDescent="0.2">
      <c r="A14" s="1"/>
      <c r="B14" s="28"/>
      <c r="C14" s="56"/>
      <c r="D14" s="118"/>
      <c r="E14" s="101"/>
      <c r="F14" s="121"/>
      <c r="G14" s="101"/>
      <c r="H14" s="121"/>
      <c r="I14" s="101"/>
      <c r="J14" s="121"/>
      <c r="K14" s="101"/>
      <c r="L14" s="121"/>
      <c r="M14" s="101"/>
      <c r="N14" s="121"/>
      <c r="O14" s="101"/>
      <c r="P14" s="121"/>
      <c r="Q14" s="101"/>
      <c r="R14" s="121"/>
      <c r="S14" s="101"/>
      <c r="T14" s="121"/>
      <c r="U14" s="101"/>
      <c r="V14" s="121"/>
      <c r="W14" s="101"/>
      <c r="X14" s="121"/>
      <c r="Y14" s="101"/>
      <c r="Z14" s="121"/>
      <c r="AA14" s="102"/>
      <c r="AB14" s="115"/>
      <c r="AC14" s="1"/>
    </row>
    <row r="15" spans="1:29" x14ac:dyDescent="0.2">
      <c r="A15" s="1"/>
      <c r="B15" s="29" t="s">
        <v>17</v>
      </c>
      <c r="C15" s="56">
        <f>'Forecast - Current'!C15</f>
        <v>74500</v>
      </c>
      <c r="D15" s="118">
        <f>'Forecast - Current'!D15</f>
        <v>6208</v>
      </c>
      <c r="E15" s="101">
        <v>45867</v>
      </c>
      <c r="F15" s="121">
        <f>'Forecast - Current'!E15</f>
        <v>6208</v>
      </c>
      <c r="G15" s="101">
        <v>89454</v>
      </c>
      <c r="H15" s="121">
        <f>'Forecast - Current'!F15</f>
        <v>6208</v>
      </c>
      <c r="I15" s="101"/>
      <c r="J15" s="121">
        <f>'Forecast - Current'!G15</f>
        <v>6208</v>
      </c>
      <c r="K15" s="101"/>
      <c r="L15" s="121">
        <f>'Forecast - Current'!H15</f>
        <v>6208</v>
      </c>
      <c r="M15" s="101"/>
      <c r="N15" s="121">
        <f>'Forecast - Current'!I15</f>
        <v>6208</v>
      </c>
      <c r="O15" s="101"/>
      <c r="P15" s="121">
        <f>'Forecast - Current'!J15</f>
        <v>6208</v>
      </c>
      <c r="Q15" s="101"/>
      <c r="R15" s="121">
        <f>'Forecast - Current'!K15</f>
        <v>6208</v>
      </c>
      <c r="S15" s="101"/>
      <c r="T15" s="121">
        <f>'Forecast - Current'!L15</f>
        <v>6208</v>
      </c>
      <c r="U15" s="101"/>
      <c r="V15" s="121">
        <f>'Forecast - Current'!M15</f>
        <v>6208</v>
      </c>
      <c r="W15" s="101"/>
      <c r="X15" s="121">
        <f>'Forecast - Current'!N15</f>
        <v>6208</v>
      </c>
      <c r="Y15" s="101"/>
      <c r="Z15" s="121">
        <f>'Forecast - Current'!O15</f>
        <v>6212</v>
      </c>
      <c r="AA15" s="102"/>
      <c r="AB15" s="115">
        <f t="shared" si="0"/>
        <v>135321</v>
      </c>
      <c r="AC15" s="1"/>
    </row>
    <row r="16" spans="1:29" ht="9.9499999999999993" customHeight="1" x14ac:dyDescent="0.2">
      <c r="A16" s="1"/>
      <c r="B16" s="28"/>
      <c r="C16" s="56"/>
      <c r="D16" s="118"/>
      <c r="E16" s="101"/>
      <c r="F16" s="121"/>
      <c r="G16" s="101"/>
      <c r="H16" s="121"/>
      <c r="I16" s="101"/>
      <c r="J16" s="121"/>
      <c r="K16" s="101"/>
      <c r="L16" s="121"/>
      <c r="M16" s="101"/>
      <c r="N16" s="121"/>
      <c r="O16" s="101"/>
      <c r="P16" s="121"/>
      <c r="Q16" s="101"/>
      <c r="R16" s="121"/>
      <c r="S16" s="101"/>
      <c r="T16" s="121"/>
      <c r="U16" s="101"/>
      <c r="V16" s="121"/>
      <c r="W16" s="101"/>
      <c r="X16" s="121"/>
      <c r="Y16" s="101"/>
      <c r="Z16" s="121"/>
      <c r="AA16" s="102"/>
      <c r="AB16" s="115"/>
      <c r="AC16" s="1"/>
    </row>
    <row r="17" spans="1:29" x14ac:dyDescent="0.2">
      <c r="A17" s="1"/>
      <c r="B17" s="106" t="s">
        <v>18</v>
      </c>
      <c r="C17" s="56">
        <f>'Forecast - Current'!C17</f>
        <v>0</v>
      </c>
      <c r="D17" s="118">
        <f>'Forecast - Current'!D17</f>
        <v>0</v>
      </c>
      <c r="E17" s="101"/>
      <c r="F17" s="121">
        <f>'Forecast - Current'!E17</f>
        <v>0</v>
      </c>
      <c r="G17" s="101"/>
      <c r="H17" s="121">
        <f>'Forecast - Current'!F17</f>
        <v>0</v>
      </c>
      <c r="I17" s="101"/>
      <c r="J17" s="121">
        <f>'Forecast - Current'!G17</f>
        <v>0</v>
      </c>
      <c r="K17" s="101"/>
      <c r="L17" s="121">
        <f>'Forecast - Current'!H17</f>
        <v>0</v>
      </c>
      <c r="M17" s="101"/>
      <c r="N17" s="121">
        <f>'Forecast - Current'!I17</f>
        <v>0</v>
      </c>
      <c r="O17" s="101"/>
      <c r="P17" s="121">
        <f>'Forecast - Current'!J17</f>
        <v>0</v>
      </c>
      <c r="Q17" s="101"/>
      <c r="R17" s="121">
        <f>'Forecast - Current'!K17</f>
        <v>0</v>
      </c>
      <c r="S17" s="101"/>
      <c r="T17" s="121">
        <f>'Forecast - Current'!L17</f>
        <v>0</v>
      </c>
      <c r="U17" s="101"/>
      <c r="V17" s="121">
        <f>'Forecast - Current'!M17</f>
        <v>0</v>
      </c>
      <c r="W17" s="101"/>
      <c r="X17" s="121">
        <f>'Forecast - Current'!N17</f>
        <v>0</v>
      </c>
      <c r="Y17" s="101"/>
      <c r="Z17" s="121">
        <f>'Forecast - Current'!O17</f>
        <v>0</v>
      </c>
      <c r="AA17" s="102"/>
      <c r="AB17" s="115">
        <f t="shared" si="0"/>
        <v>0</v>
      </c>
      <c r="AC17" s="1"/>
    </row>
    <row r="18" spans="1:29" x14ac:dyDescent="0.2">
      <c r="A18" s="1"/>
      <c r="B18" s="106" t="s">
        <v>18</v>
      </c>
      <c r="C18" s="56">
        <f>'Forecast - Current'!C18</f>
        <v>0</v>
      </c>
      <c r="D18" s="118">
        <f>'Forecast - Current'!D18</f>
        <v>0</v>
      </c>
      <c r="E18" s="101"/>
      <c r="F18" s="121">
        <f>'Forecast - Current'!E18</f>
        <v>0</v>
      </c>
      <c r="G18" s="101"/>
      <c r="H18" s="121">
        <f>'Forecast - Current'!F18</f>
        <v>0</v>
      </c>
      <c r="I18" s="101"/>
      <c r="J18" s="121">
        <f>'Forecast - Current'!G18</f>
        <v>0</v>
      </c>
      <c r="K18" s="101"/>
      <c r="L18" s="121">
        <f>'Forecast - Current'!H18</f>
        <v>0</v>
      </c>
      <c r="M18" s="101"/>
      <c r="N18" s="121">
        <f>'Forecast - Current'!I18</f>
        <v>0</v>
      </c>
      <c r="O18" s="101"/>
      <c r="P18" s="121">
        <f>'Forecast - Current'!J18</f>
        <v>0</v>
      </c>
      <c r="Q18" s="101"/>
      <c r="R18" s="121">
        <f>'Forecast - Current'!K18</f>
        <v>0</v>
      </c>
      <c r="S18" s="101"/>
      <c r="T18" s="121">
        <f>'Forecast - Current'!L18</f>
        <v>0</v>
      </c>
      <c r="U18" s="101"/>
      <c r="V18" s="121">
        <f>'Forecast - Current'!M18</f>
        <v>0</v>
      </c>
      <c r="W18" s="101"/>
      <c r="X18" s="121">
        <f>'Forecast - Current'!N18</f>
        <v>0</v>
      </c>
      <c r="Y18" s="101"/>
      <c r="Z18" s="121">
        <f>'Forecast - Current'!O18</f>
        <v>0</v>
      </c>
      <c r="AA18" s="102"/>
      <c r="AB18" s="115">
        <f t="shared" si="0"/>
        <v>0</v>
      </c>
      <c r="AC18" s="1"/>
    </row>
    <row r="19" spans="1:29" ht="9.9499999999999993" customHeight="1" x14ac:dyDescent="0.2">
      <c r="A19" s="1"/>
      <c r="B19" s="28"/>
      <c r="C19" s="56"/>
      <c r="D19" s="118"/>
      <c r="E19" s="101"/>
      <c r="F19" s="121"/>
      <c r="G19" s="101"/>
      <c r="H19" s="121"/>
      <c r="I19" s="101"/>
      <c r="J19" s="121"/>
      <c r="K19" s="101"/>
      <c r="L19" s="121"/>
      <c r="M19" s="101"/>
      <c r="N19" s="121"/>
      <c r="O19" s="101"/>
      <c r="P19" s="121"/>
      <c r="Q19" s="101"/>
      <c r="R19" s="121"/>
      <c r="S19" s="101"/>
      <c r="T19" s="121"/>
      <c r="U19" s="101"/>
      <c r="V19" s="121"/>
      <c r="W19" s="101"/>
      <c r="X19" s="121"/>
      <c r="Y19" s="101"/>
      <c r="Z19" s="121"/>
      <c r="AA19" s="102"/>
      <c r="AB19" s="115"/>
      <c r="AC19" s="1"/>
    </row>
    <row r="20" spans="1:29" ht="15.75" thickBot="1" x14ac:dyDescent="0.25">
      <c r="A20" s="1"/>
      <c r="B20" s="29" t="s">
        <v>19</v>
      </c>
      <c r="C20" s="56">
        <f>'Forecast - Current'!C20</f>
        <v>4343</v>
      </c>
      <c r="D20" s="119">
        <f>'Forecast - Current'!D20</f>
        <v>4343</v>
      </c>
      <c r="E20" s="103">
        <v>4343</v>
      </c>
      <c r="F20" s="122">
        <f>'Forecast - Current'!E20</f>
        <v>0</v>
      </c>
      <c r="G20" s="103"/>
      <c r="H20" s="122">
        <f>'Forecast - Current'!F20</f>
        <v>0</v>
      </c>
      <c r="I20" s="103"/>
      <c r="J20" s="122">
        <f>'Forecast - Current'!G20</f>
        <v>0</v>
      </c>
      <c r="K20" s="103"/>
      <c r="L20" s="122">
        <f>'Forecast - Current'!H20</f>
        <v>0</v>
      </c>
      <c r="M20" s="103"/>
      <c r="N20" s="122">
        <f>'Forecast - Current'!I20</f>
        <v>0</v>
      </c>
      <c r="O20" s="103"/>
      <c r="P20" s="122">
        <f>'Forecast - Current'!J20</f>
        <v>0</v>
      </c>
      <c r="Q20" s="103"/>
      <c r="R20" s="122">
        <f>'Forecast - Current'!K20</f>
        <v>0</v>
      </c>
      <c r="S20" s="103"/>
      <c r="T20" s="122">
        <f>'Forecast - Current'!L20</f>
        <v>0</v>
      </c>
      <c r="U20" s="103"/>
      <c r="V20" s="122">
        <f>'Forecast - Current'!M20</f>
        <v>0</v>
      </c>
      <c r="W20" s="103"/>
      <c r="X20" s="122">
        <f>'Forecast - Current'!N20</f>
        <v>0</v>
      </c>
      <c r="Y20" s="103"/>
      <c r="Z20" s="122">
        <f>'Forecast - Current'!O20</f>
        <v>0</v>
      </c>
      <c r="AA20" s="104"/>
      <c r="AB20" s="116">
        <f t="shared" si="0"/>
        <v>4343</v>
      </c>
      <c r="AC20" s="1"/>
    </row>
    <row r="21" spans="1:29" s="44" customFormat="1" ht="15.75" thickBot="1" x14ac:dyDescent="0.25">
      <c r="A21" s="43"/>
      <c r="B21" s="107" t="s">
        <v>20</v>
      </c>
      <c r="C21" s="108">
        <f>'Forecast - Current'!C21</f>
        <v>10064861</v>
      </c>
      <c r="D21" s="109">
        <f>'Forecast - Current'!D21</f>
        <v>778718</v>
      </c>
      <c r="E21" s="110">
        <f>SUM(E7:E20)</f>
        <v>853672</v>
      </c>
      <c r="F21" s="111">
        <f>'Forecast - Current'!E21</f>
        <v>885236</v>
      </c>
      <c r="G21" s="110">
        <f>SUM(G7:G20)</f>
        <v>949976</v>
      </c>
      <c r="H21" s="111">
        <f>'Forecast - Current'!F21</f>
        <v>1016652</v>
      </c>
      <c r="I21" s="110">
        <f>SUM(I7:I20)</f>
        <v>0</v>
      </c>
      <c r="J21" s="111">
        <f>'Forecast - Current'!G21</f>
        <v>753093</v>
      </c>
      <c r="K21" s="110">
        <f>SUM(K7:K20)</f>
        <v>0</v>
      </c>
      <c r="L21" s="111">
        <f>'Forecast - Current'!H21</f>
        <v>821254</v>
      </c>
      <c r="M21" s="110">
        <f>SUM(M7:M20)</f>
        <v>0</v>
      </c>
      <c r="N21" s="111">
        <f>'Forecast - Current'!I21</f>
        <v>814710</v>
      </c>
      <c r="O21" s="110">
        <f>SUM(O7:O20)</f>
        <v>0</v>
      </c>
      <c r="P21" s="111">
        <f>'Forecast - Current'!J21</f>
        <v>753093</v>
      </c>
      <c r="Q21" s="110">
        <f>SUM(Q7:Q20)</f>
        <v>0</v>
      </c>
      <c r="R21" s="111">
        <f>'Forecast - Current'!K21</f>
        <v>824194</v>
      </c>
      <c r="S21" s="110">
        <f>SUM(S7:S20)</f>
        <v>0</v>
      </c>
      <c r="T21" s="111">
        <f>'Forecast - Current'!L21</f>
        <v>889816</v>
      </c>
      <c r="U21" s="110">
        <f>SUM(U7:U20)</f>
        <v>0</v>
      </c>
      <c r="V21" s="111">
        <f>'Forecast - Current'!M21</f>
        <v>856951</v>
      </c>
      <c r="W21" s="110">
        <f>SUM(W7:W20)</f>
        <v>0</v>
      </c>
      <c r="X21" s="111">
        <f>'Forecast - Current'!N21</f>
        <v>906621</v>
      </c>
      <c r="Y21" s="110">
        <f>SUM(Y7:Y20)</f>
        <v>0</v>
      </c>
      <c r="Z21" s="111">
        <f>'Forecast - Current'!O21</f>
        <v>760601</v>
      </c>
      <c r="AA21" s="112">
        <f>SUM(AA7:AA20)</f>
        <v>0</v>
      </c>
      <c r="AB21" s="113">
        <f t="shared" si="0"/>
        <v>1803648</v>
      </c>
      <c r="AC21" s="43"/>
    </row>
    <row r="22" spans="1:29" ht="9.9499999999999993" customHeight="1" thickBot="1" x14ac:dyDescent="0.25">
      <c r="A22" s="1"/>
      <c r="B22" s="2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62"/>
      <c r="AC22" s="1"/>
    </row>
    <row r="23" spans="1:29" s="15" customFormat="1" ht="29.25" thickBot="1" x14ac:dyDescent="0.25">
      <c r="A23" s="13"/>
      <c r="B23" s="27"/>
      <c r="C23" s="14" t="s">
        <v>1</v>
      </c>
      <c r="D23" s="17" t="s">
        <v>32</v>
      </c>
      <c r="E23" s="57" t="s">
        <v>59</v>
      </c>
      <c r="F23" s="16" t="s">
        <v>33</v>
      </c>
      <c r="G23" s="57" t="s">
        <v>58</v>
      </c>
      <c r="H23" s="16" t="s">
        <v>34</v>
      </c>
      <c r="I23" s="57" t="s">
        <v>47</v>
      </c>
      <c r="J23" s="16" t="s">
        <v>35</v>
      </c>
      <c r="K23" s="57" t="s">
        <v>57</v>
      </c>
      <c r="L23" s="16" t="s">
        <v>36</v>
      </c>
      <c r="M23" s="57" t="s">
        <v>56</v>
      </c>
      <c r="N23" s="16" t="s">
        <v>37</v>
      </c>
      <c r="O23" s="57" t="s">
        <v>55</v>
      </c>
      <c r="P23" s="16" t="s">
        <v>38</v>
      </c>
      <c r="Q23" s="57" t="s">
        <v>54</v>
      </c>
      <c r="R23" s="16" t="s">
        <v>39</v>
      </c>
      <c r="S23" s="57" t="s">
        <v>53</v>
      </c>
      <c r="T23" s="16" t="s">
        <v>40</v>
      </c>
      <c r="U23" s="57" t="s">
        <v>52</v>
      </c>
      <c r="V23" s="16" t="s">
        <v>41</v>
      </c>
      <c r="W23" s="57" t="s">
        <v>51</v>
      </c>
      <c r="X23" s="16" t="s">
        <v>42</v>
      </c>
      <c r="Y23" s="57" t="s">
        <v>50</v>
      </c>
      <c r="Z23" s="16" t="s">
        <v>43</v>
      </c>
      <c r="AA23" s="58" t="s">
        <v>49</v>
      </c>
      <c r="AB23" s="59" t="s">
        <v>48</v>
      </c>
      <c r="AC23" s="13"/>
    </row>
    <row r="24" spans="1:29" x14ac:dyDescent="0.2">
      <c r="A24" s="1"/>
      <c r="B24" s="32" t="s">
        <v>21</v>
      </c>
      <c r="C24" s="180"/>
      <c r="D24" s="182"/>
      <c r="E24" s="178"/>
      <c r="F24" s="184"/>
      <c r="G24" s="178"/>
      <c r="H24" s="186"/>
      <c r="I24" s="178"/>
      <c r="J24" s="184"/>
      <c r="K24" s="178"/>
      <c r="L24" s="184"/>
      <c r="M24" s="178"/>
      <c r="N24" s="186"/>
      <c r="O24" s="178"/>
      <c r="P24" s="186"/>
      <c r="Q24" s="178"/>
      <c r="R24" s="184"/>
      <c r="S24" s="178"/>
      <c r="T24" s="184"/>
      <c r="U24" s="178"/>
      <c r="V24" s="184"/>
      <c r="W24" s="178"/>
      <c r="X24" s="184"/>
      <c r="Y24" s="178"/>
      <c r="Z24" s="184"/>
      <c r="AA24" s="196"/>
      <c r="AB24" s="190"/>
      <c r="AC24" s="1"/>
    </row>
    <row r="25" spans="1:29" ht="9.9499999999999993" customHeight="1" thickBot="1" x14ac:dyDescent="0.25">
      <c r="A25" s="1"/>
      <c r="B25" s="33"/>
      <c r="C25" s="181"/>
      <c r="D25" s="183"/>
      <c r="E25" s="179"/>
      <c r="F25" s="185"/>
      <c r="G25" s="179"/>
      <c r="H25" s="187"/>
      <c r="I25" s="179"/>
      <c r="J25" s="185"/>
      <c r="K25" s="179"/>
      <c r="L25" s="185"/>
      <c r="M25" s="179"/>
      <c r="N25" s="187"/>
      <c r="O25" s="179"/>
      <c r="P25" s="187"/>
      <c r="Q25" s="179"/>
      <c r="R25" s="185"/>
      <c r="S25" s="179"/>
      <c r="T25" s="185"/>
      <c r="U25" s="179"/>
      <c r="V25" s="185"/>
      <c r="W25" s="179"/>
      <c r="X25" s="185"/>
      <c r="Y25" s="179"/>
      <c r="Z25" s="185"/>
      <c r="AA25" s="197"/>
      <c r="AB25" s="191"/>
      <c r="AC25" s="1"/>
    </row>
    <row r="26" spans="1:29" x14ac:dyDescent="0.2">
      <c r="A26" s="1"/>
      <c r="B26" s="34" t="s">
        <v>22</v>
      </c>
      <c r="C26" s="66">
        <f>'Forecast - Current'!C26</f>
        <v>8376620</v>
      </c>
      <c r="D26" s="45">
        <f>'Forecast - Current'!D26</f>
        <v>698051</v>
      </c>
      <c r="E26" s="99">
        <v>626063</v>
      </c>
      <c r="F26" s="120">
        <f>'Forecast - Current'!E26</f>
        <v>698051</v>
      </c>
      <c r="G26" s="99">
        <v>653535</v>
      </c>
      <c r="H26" s="120">
        <f>'Forecast - Current'!F26</f>
        <v>698051</v>
      </c>
      <c r="I26" s="99"/>
      <c r="J26" s="120">
        <f>'Forecast - Current'!G26</f>
        <v>698051</v>
      </c>
      <c r="K26" s="99"/>
      <c r="L26" s="120">
        <f>'Forecast - Current'!H26</f>
        <v>698051</v>
      </c>
      <c r="M26" s="99"/>
      <c r="N26" s="120">
        <f>'Forecast - Current'!I26</f>
        <v>698051</v>
      </c>
      <c r="O26" s="99"/>
      <c r="P26" s="120">
        <f>'Forecast - Current'!J26</f>
        <v>698051</v>
      </c>
      <c r="Q26" s="99"/>
      <c r="R26" s="120">
        <f>'Forecast - Current'!K26</f>
        <v>698051</v>
      </c>
      <c r="S26" s="99"/>
      <c r="T26" s="120">
        <f>'Forecast - Current'!L26</f>
        <v>698051</v>
      </c>
      <c r="U26" s="99"/>
      <c r="V26" s="120">
        <f>'Forecast - Current'!M26</f>
        <v>698051</v>
      </c>
      <c r="W26" s="99"/>
      <c r="X26" s="120">
        <f>'Forecast - Current'!N26</f>
        <v>698051</v>
      </c>
      <c r="Y26" s="99"/>
      <c r="Z26" s="120">
        <f>'Forecast - Current'!O26</f>
        <v>698059</v>
      </c>
      <c r="AA26" s="100"/>
      <c r="AB26" s="63">
        <f>E26+G26+I26+K26+M26+O26+Q26+S26+U26+W26+Y26+AA26</f>
        <v>1279598</v>
      </c>
      <c r="AC26" s="1"/>
    </row>
    <row r="27" spans="1:29" ht="9.9499999999999993" customHeight="1" x14ac:dyDescent="0.2">
      <c r="A27" s="1"/>
      <c r="B27" s="29"/>
      <c r="C27" s="67"/>
      <c r="D27" s="45"/>
      <c r="E27" s="101"/>
      <c r="F27" s="120"/>
      <c r="G27" s="101"/>
      <c r="H27" s="120"/>
      <c r="I27" s="101"/>
      <c r="J27" s="120"/>
      <c r="K27" s="101"/>
      <c r="L27" s="120"/>
      <c r="M27" s="101"/>
      <c r="N27" s="120"/>
      <c r="O27" s="101"/>
      <c r="P27" s="120"/>
      <c r="Q27" s="101"/>
      <c r="R27" s="120"/>
      <c r="S27" s="101"/>
      <c r="T27" s="120"/>
      <c r="U27" s="101"/>
      <c r="V27" s="120"/>
      <c r="W27" s="101"/>
      <c r="X27" s="120"/>
      <c r="Y27" s="101"/>
      <c r="Z27" s="120"/>
      <c r="AA27" s="102"/>
      <c r="AB27" s="63"/>
      <c r="AC27" s="1"/>
    </row>
    <row r="28" spans="1:29" x14ac:dyDescent="0.2">
      <c r="A28" s="1"/>
      <c r="B28" s="29" t="s">
        <v>24</v>
      </c>
      <c r="C28" s="67">
        <f>'Forecast - Current'!C28</f>
        <v>0</v>
      </c>
      <c r="D28" s="45">
        <f>'Forecast - Current'!D28</f>
        <v>0</v>
      </c>
      <c r="E28" s="101">
        <v>850</v>
      </c>
      <c r="F28" s="120">
        <f>'Forecast - Current'!E28</f>
        <v>0</v>
      </c>
      <c r="G28" s="101">
        <v>14400</v>
      </c>
      <c r="H28" s="120">
        <f>'Forecast - Current'!F28</f>
        <v>0</v>
      </c>
      <c r="I28" s="101"/>
      <c r="J28" s="120">
        <f>'Forecast - Current'!G28</f>
        <v>0</v>
      </c>
      <c r="K28" s="101"/>
      <c r="L28" s="120">
        <f>'Forecast - Current'!H28</f>
        <v>0</v>
      </c>
      <c r="M28" s="101"/>
      <c r="N28" s="120">
        <f>'Forecast - Current'!I28</f>
        <v>0</v>
      </c>
      <c r="O28" s="101"/>
      <c r="P28" s="120">
        <f>'Forecast - Current'!J28</f>
        <v>0</v>
      </c>
      <c r="Q28" s="101"/>
      <c r="R28" s="120">
        <f>'Forecast - Current'!K28</f>
        <v>0</v>
      </c>
      <c r="S28" s="101"/>
      <c r="T28" s="120">
        <f>'Forecast - Current'!L28</f>
        <v>0</v>
      </c>
      <c r="U28" s="101"/>
      <c r="V28" s="120">
        <f>'Forecast - Current'!M28</f>
        <v>0</v>
      </c>
      <c r="W28" s="101"/>
      <c r="X28" s="120">
        <f>'Forecast - Current'!N28</f>
        <v>0</v>
      </c>
      <c r="Y28" s="101"/>
      <c r="Z28" s="120">
        <f>'Forecast - Current'!O28</f>
        <v>0</v>
      </c>
      <c r="AA28" s="102"/>
      <c r="AB28" s="63">
        <f t="shared" ref="AB28:AB37" si="1">E28+G28+I28+K28+M28+O28+Q28+S28+U28+W28+Y28+AA28</f>
        <v>15250</v>
      </c>
      <c r="AC28" s="1"/>
    </row>
    <row r="29" spans="1:29" ht="9.9499999999999993" customHeight="1" x14ac:dyDescent="0.2">
      <c r="A29" s="1"/>
      <c r="B29" s="29"/>
      <c r="C29" s="67"/>
      <c r="D29" s="45"/>
      <c r="E29" s="101"/>
      <c r="F29" s="120"/>
      <c r="G29" s="101"/>
      <c r="H29" s="120"/>
      <c r="I29" s="101"/>
      <c r="J29" s="120"/>
      <c r="K29" s="101"/>
      <c r="L29" s="120"/>
      <c r="M29" s="101"/>
      <c r="N29" s="120"/>
      <c r="O29" s="101"/>
      <c r="P29" s="120"/>
      <c r="Q29" s="101"/>
      <c r="R29" s="120"/>
      <c r="S29" s="101"/>
      <c r="T29" s="120"/>
      <c r="U29" s="101"/>
      <c r="V29" s="120"/>
      <c r="W29" s="101"/>
      <c r="X29" s="120"/>
      <c r="Y29" s="101"/>
      <c r="Z29" s="120"/>
      <c r="AA29" s="102"/>
      <c r="AB29" s="63"/>
      <c r="AC29" s="1"/>
    </row>
    <row r="30" spans="1:29" x14ac:dyDescent="0.2">
      <c r="A30" s="1"/>
      <c r="B30" s="29" t="s">
        <v>23</v>
      </c>
      <c r="C30" s="67">
        <f>'Forecast - Current'!C30</f>
        <v>1770354</v>
      </c>
      <c r="D30" s="45">
        <f>'Forecast - Current'!D30</f>
        <v>138206</v>
      </c>
      <c r="E30" s="101">
        <f>228890+2</f>
        <v>228892</v>
      </c>
      <c r="F30" s="120">
        <f>'Forecast - Current'!E30</f>
        <v>188728</v>
      </c>
      <c r="G30" s="101">
        <v>204582</v>
      </c>
      <c r="H30" s="120">
        <f>'Forecast - Current'!F30</f>
        <v>127228</v>
      </c>
      <c r="I30" s="101"/>
      <c r="J30" s="120">
        <f>'Forecast - Current'!G30</f>
        <v>127228</v>
      </c>
      <c r="K30" s="101"/>
      <c r="L30" s="120">
        <f>'Forecast - Current'!H30</f>
        <v>222228</v>
      </c>
      <c r="M30" s="101"/>
      <c r="N30" s="120">
        <f>'Forecast - Current'!I30</f>
        <v>127228</v>
      </c>
      <c r="O30" s="101"/>
      <c r="P30" s="120">
        <f>'Forecast - Current'!J30</f>
        <v>159058</v>
      </c>
      <c r="Q30" s="101"/>
      <c r="R30" s="120">
        <f>'Forecast - Current'!K30</f>
        <v>127228</v>
      </c>
      <c r="S30" s="101"/>
      <c r="T30" s="120">
        <f>'Forecast - Current'!L30</f>
        <v>127228</v>
      </c>
      <c r="U30" s="101"/>
      <c r="V30" s="120">
        <f>'Forecast - Current'!M30</f>
        <v>142228</v>
      </c>
      <c r="W30" s="101"/>
      <c r="X30" s="120">
        <f>'Forecast - Current'!N30</f>
        <v>156528</v>
      </c>
      <c r="Y30" s="101"/>
      <c r="Z30" s="120">
        <f>'Forecast - Current'!O30</f>
        <v>127238</v>
      </c>
      <c r="AA30" s="102"/>
      <c r="AB30" s="63">
        <f t="shared" si="1"/>
        <v>433474</v>
      </c>
      <c r="AC30" s="1"/>
    </row>
    <row r="31" spans="1:29" ht="9.9499999999999993" customHeight="1" x14ac:dyDescent="0.2">
      <c r="A31" s="1"/>
      <c r="B31" s="29"/>
      <c r="C31" s="67"/>
      <c r="D31" s="45"/>
      <c r="E31" s="101"/>
      <c r="F31" s="120"/>
      <c r="G31" s="101"/>
      <c r="H31" s="120"/>
      <c r="I31" s="101"/>
      <c r="J31" s="120"/>
      <c r="K31" s="101"/>
      <c r="L31" s="120"/>
      <c r="M31" s="101"/>
      <c r="N31" s="120"/>
      <c r="O31" s="101"/>
      <c r="P31" s="120"/>
      <c r="Q31" s="101"/>
      <c r="R31" s="120"/>
      <c r="S31" s="101"/>
      <c r="T31" s="120"/>
      <c r="U31" s="101"/>
      <c r="V31" s="120"/>
      <c r="W31" s="101"/>
      <c r="X31" s="120"/>
      <c r="Y31" s="101"/>
      <c r="Z31" s="120"/>
      <c r="AA31" s="102"/>
      <c r="AB31" s="63"/>
      <c r="AC31" s="1"/>
    </row>
    <row r="32" spans="1:29" x14ac:dyDescent="0.2">
      <c r="A32" s="1"/>
      <c r="B32" s="29" t="s">
        <v>76</v>
      </c>
      <c r="C32" s="67">
        <f>'Forecast - Current'!C32</f>
        <v>0</v>
      </c>
      <c r="D32" s="45">
        <f>'Forecast - Current'!D32</f>
        <v>0</v>
      </c>
      <c r="E32" s="101"/>
      <c r="F32" s="120">
        <f>'Forecast - Current'!E32</f>
        <v>0</v>
      </c>
      <c r="G32" s="101"/>
      <c r="H32" s="120">
        <f>'Forecast - Current'!F32</f>
        <v>0</v>
      </c>
      <c r="I32" s="101"/>
      <c r="J32" s="120">
        <f>'Forecast - Current'!G32</f>
        <v>0</v>
      </c>
      <c r="K32" s="101"/>
      <c r="L32" s="120">
        <f>'Forecast - Current'!H32</f>
        <v>0</v>
      </c>
      <c r="M32" s="101"/>
      <c r="N32" s="120">
        <f>'Forecast - Current'!I32</f>
        <v>0</v>
      </c>
      <c r="O32" s="101"/>
      <c r="P32" s="120">
        <f>'Forecast - Current'!J32</f>
        <v>0</v>
      </c>
      <c r="Q32" s="101"/>
      <c r="R32" s="120">
        <f>'Forecast - Current'!K32</f>
        <v>0</v>
      </c>
      <c r="S32" s="101"/>
      <c r="T32" s="120">
        <f>'Forecast - Current'!L32</f>
        <v>0</v>
      </c>
      <c r="U32" s="101"/>
      <c r="V32" s="120">
        <f>'Forecast - Current'!M32</f>
        <v>0</v>
      </c>
      <c r="W32" s="101"/>
      <c r="X32" s="120">
        <f>'Forecast - Current'!N32</f>
        <v>0</v>
      </c>
      <c r="Y32" s="101"/>
      <c r="Z32" s="120">
        <f>'Forecast - Current'!O32</f>
        <v>0</v>
      </c>
      <c r="AA32" s="102"/>
      <c r="AB32" s="63">
        <f t="shared" si="1"/>
        <v>0</v>
      </c>
      <c r="AC32" s="1"/>
    </row>
    <row r="33" spans="1:29" x14ac:dyDescent="0.2">
      <c r="A33" s="1"/>
      <c r="B33" s="29" t="s">
        <v>18</v>
      </c>
      <c r="C33" s="67">
        <f>'Forecast - Current'!C33</f>
        <v>0</v>
      </c>
      <c r="D33" s="45">
        <f>'Forecast - Current'!D33</f>
        <v>0</v>
      </c>
      <c r="E33" s="101"/>
      <c r="F33" s="120">
        <f>'Forecast - Current'!E33</f>
        <v>0</v>
      </c>
      <c r="G33" s="101"/>
      <c r="H33" s="120">
        <f>'Forecast - Current'!F33</f>
        <v>0</v>
      </c>
      <c r="I33" s="101"/>
      <c r="J33" s="120">
        <f>'Forecast - Current'!G33</f>
        <v>0</v>
      </c>
      <c r="K33" s="101"/>
      <c r="L33" s="120">
        <f>'Forecast - Current'!H33</f>
        <v>0</v>
      </c>
      <c r="M33" s="101"/>
      <c r="N33" s="120">
        <f>'Forecast - Current'!I33</f>
        <v>0</v>
      </c>
      <c r="O33" s="101"/>
      <c r="P33" s="120">
        <f>'Forecast - Current'!J33</f>
        <v>0</v>
      </c>
      <c r="Q33" s="101"/>
      <c r="R33" s="120">
        <f>'Forecast - Current'!K33</f>
        <v>0</v>
      </c>
      <c r="S33" s="101"/>
      <c r="T33" s="120">
        <f>'Forecast - Current'!L33</f>
        <v>0</v>
      </c>
      <c r="U33" s="101"/>
      <c r="V33" s="120">
        <f>'Forecast - Current'!M33</f>
        <v>0</v>
      </c>
      <c r="W33" s="101"/>
      <c r="X33" s="120">
        <f>'Forecast - Current'!N33</f>
        <v>0</v>
      </c>
      <c r="Y33" s="101"/>
      <c r="Z33" s="120">
        <f>'Forecast - Current'!O33</f>
        <v>0</v>
      </c>
      <c r="AA33" s="102"/>
      <c r="AB33" s="63">
        <f t="shared" si="1"/>
        <v>0</v>
      </c>
      <c r="AC33" s="1"/>
    </row>
    <row r="34" spans="1:29" ht="9.9499999999999993" customHeight="1" x14ac:dyDescent="0.2">
      <c r="A34" s="1"/>
      <c r="B34" s="29"/>
      <c r="C34" s="67"/>
      <c r="D34" s="45"/>
      <c r="E34" s="101"/>
      <c r="F34" s="120"/>
      <c r="G34" s="101"/>
      <c r="H34" s="120"/>
      <c r="I34" s="101"/>
      <c r="J34" s="120"/>
      <c r="K34" s="101"/>
      <c r="L34" s="120"/>
      <c r="M34" s="101"/>
      <c r="N34" s="120"/>
      <c r="O34" s="101"/>
      <c r="P34" s="120"/>
      <c r="Q34" s="101"/>
      <c r="R34" s="120"/>
      <c r="S34" s="101"/>
      <c r="T34" s="120"/>
      <c r="U34" s="101"/>
      <c r="V34" s="120"/>
      <c r="W34" s="101"/>
      <c r="X34" s="120"/>
      <c r="Y34" s="101"/>
      <c r="Z34" s="120"/>
      <c r="AA34" s="102"/>
      <c r="AB34" s="63"/>
      <c r="AC34" s="1"/>
    </row>
    <row r="35" spans="1:29" x14ac:dyDescent="0.2">
      <c r="A35" s="1"/>
      <c r="B35" s="29" t="s">
        <v>25</v>
      </c>
      <c r="C35" s="67">
        <f>'Forecast - Current'!C35</f>
        <v>54177</v>
      </c>
      <c r="D35" s="45">
        <f>'Forecast - Current'!D35</f>
        <v>54177</v>
      </c>
      <c r="E35" s="101">
        <v>54177</v>
      </c>
      <c r="F35" s="120">
        <f>'Forecast - Current'!E35</f>
        <v>0</v>
      </c>
      <c r="G35" s="101"/>
      <c r="H35" s="120">
        <f>'Forecast - Current'!F35</f>
        <v>0</v>
      </c>
      <c r="I35" s="101"/>
      <c r="J35" s="120">
        <f>'Forecast - Current'!G35</f>
        <v>0</v>
      </c>
      <c r="K35" s="101"/>
      <c r="L35" s="120">
        <f>'Forecast - Current'!H35</f>
        <v>0</v>
      </c>
      <c r="M35" s="101"/>
      <c r="N35" s="120">
        <f>'Forecast - Current'!I35</f>
        <v>0</v>
      </c>
      <c r="O35" s="101"/>
      <c r="P35" s="120">
        <f>'Forecast - Current'!J35</f>
        <v>0</v>
      </c>
      <c r="Q35" s="101"/>
      <c r="R35" s="120">
        <f>'Forecast - Current'!K35</f>
        <v>0</v>
      </c>
      <c r="S35" s="101"/>
      <c r="T35" s="120">
        <f>'Forecast - Current'!L35</f>
        <v>0</v>
      </c>
      <c r="U35" s="101"/>
      <c r="V35" s="120">
        <f>'Forecast - Current'!M35</f>
        <v>0</v>
      </c>
      <c r="W35" s="101"/>
      <c r="X35" s="120">
        <f>'Forecast - Current'!N35</f>
        <v>0</v>
      </c>
      <c r="Y35" s="101"/>
      <c r="Z35" s="120">
        <f>'Forecast - Current'!O35</f>
        <v>0</v>
      </c>
      <c r="AA35" s="102"/>
      <c r="AB35" s="63">
        <f t="shared" si="1"/>
        <v>54177</v>
      </c>
      <c r="AC35" s="1"/>
    </row>
    <row r="36" spans="1:29" ht="15.75" thickBot="1" x14ac:dyDescent="0.25">
      <c r="A36" s="1"/>
      <c r="B36" s="29" t="s">
        <v>26</v>
      </c>
      <c r="C36" s="68">
        <f>'Forecast - Current'!C36</f>
        <v>54378</v>
      </c>
      <c r="D36" s="47">
        <f>'Forecast - Current'!D36</f>
        <v>54378</v>
      </c>
      <c r="E36" s="103">
        <v>54378</v>
      </c>
      <c r="F36" s="48">
        <f>'Forecast - Current'!E36</f>
        <v>0</v>
      </c>
      <c r="G36" s="101"/>
      <c r="H36" s="48">
        <f>'Forecast - Current'!F36</f>
        <v>0</v>
      </c>
      <c r="I36" s="103"/>
      <c r="J36" s="48">
        <f>'Forecast - Current'!G36</f>
        <v>0</v>
      </c>
      <c r="K36" s="103"/>
      <c r="L36" s="48">
        <f>'Forecast - Current'!H36</f>
        <v>0</v>
      </c>
      <c r="M36" s="103"/>
      <c r="N36" s="48">
        <f>'Forecast - Current'!I36</f>
        <v>0</v>
      </c>
      <c r="O36" s="103"/>
      <c r="P36" s="48">
        <f>'Forecast - Current'!J36</f>
        <v>0</v>
      </c>
      <c r="Q36" s="103"/>
      <c r="R36" s="48">
        <f>'Forecast - Current'!K36</f>
        <v>0</v>
      </c>
      <c r="S36" s="103"/>
      <c r="T36" s="48">
        <f>'Forecast - Current'!L36</f>
        <v>0</v>
      </c>
      <c r="U36" s="103"/>
      <c r="V36" s="48">
        <f>'Forecast - Current'!M36</f>
        <v>0</v>
      </c>
      <c r="W36" s="103"/>
      <c r="X36" s="48">
        <f>'Forecast - Current'!N36</f>
        <v>0</v>
      </c>
      <c r="Y36" s="103"/>
      <c r="Z36" s="48">
        <f>'Forecast - Current'!O36</f>
        <v>0</v>
      </c>
      <c r="AA36" s="104"/>
      <c r="AB36" s="65">
        <f t="shared" si="1"/>
        <v>54378</v>
      </c>
      <c r="AC36" s="1"/>
    </row>
    <row r="37" spans="1:29" s="44" customFormat="1" ht="15.75" thickBot="1" x14ac:dyDescent="0.25">
      <c r="A37" s="43"/>
      <c r="B37" s="123" t="s">
        <v>28</v>
      </c>
      <c r="C37" s="124">
        <f>'Forecast - Current'!C37</f>
        <v>10255529</v>
      </c>
      <c r="D37" s="125">
        <f>'Forecast - Current'!D37</f>
        <v>944812</v>
      </c>
      <c r="E37" s="110">
        <f>SUM(E26:E36)</f>
        <v>964360</v>
      </c>
      <c r="F37" s="111">
        <f>'Forecast - Current'!E37</f>
        <v>886779</v>
      </c>
      <c r="G37" s="110">
        <f>SUM(G26:G36)</f>
        <v>872517</v>
      </c>
      <c r="H37" s="111">
        <f>'Forecast - Current'!F37</f>
        <v>825279</v>
      </c>
      <c r="I37" s="110">
        <f>SUM(I26:I36)</f>
        <v>0</v>
      </c>
      <c r="J37" s="111">
        <f>'Forecast - Current'!G37</f>
        <v>825279</v>
      </c>
      <c r="K37" s="110">
        <f>SUM(K26:K36)</f>
        <v>0</v>
      </c>
      <c r="L37" s="111">
        <f>'Forecast - Current'!H37</f>
        <v>920279</v>
      </c>
      <c r="M37" s="110">
        <f>SUM(M26:M36)</f>
        <v>0</v>
      </c>
      <c r="N37" s="111">
        <f>'Forecast - Current'!I37</f>
        <v>825279</v>
      </c>
      <c r="O37" s="110">
        <f>SUM(O26:O36)</f>
        <v>0</v>
      </c>
      <c r="P37" s="111">
        <f>'Forecast - Current'!J37</f>
        <v>857109</v>
      </c>
      <c r="Q37" s="110">
        <f>SUM(Q26:Q36)</f>
        <v>0</v>
      </c>
      <c r="R37" s="111">
        <f>'Forecast - Current'!K37</f>
        <v>825279</v>
      </c>
      <c r="S37" s="110">
        <f>SUM(S26:S36)</f>
        <v>0</v>
      </c>
      <c r="T37" s="111">
        <f>'Forecast - Current'!L37</f>
        <v>825279</v>
      </c>
      <c r="U37" s="110">
        <f>SUM(U26:U36)</f>
        <v>0</v>
      </c>
      <c r="V37" s="111">
        <f>'Forecast - Current'!M37</f>
        <v>840279</v>
      </c>
      <c r="W37" s="110">
        <f>SUM(W26:W36)</f>
        <v>0</v>
      </c>
      <c r="X37" s="111">
        <f>'Forecast - Current'!N37</f>
        <v>854579</v>
      </c>
      <c r="Y37" s="110">
        <f>SUM(Y26:Y36)</f>
        <v>0</v>
      </c>
      <c r="Z37" s="111">
        <f>'Forecast - Current'!O37</f>
        <v>825297</v>
      </c>
      <c r="AA37" s="112">
        <f>SUM(AA26:AA36)</f>
        <v>0</v>
      </c>
      <c r="AB37" s="126">
        <f t="shared" si="1"/>
        <v>1836877</v>
      </c>
      <c r="AC37" s="43"/>
    </row>
    <row r="38" spans="1:29" ht="9.9499999999999993" customHeight="1" thickBot="1" x14ac:dyDescent="0.25">
      <c r="A38" s="1"/>
      <c r="B38" s="28"/>
      <c r="C38" s="46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  <c r="AB38" s="64"/>
      <c r="AC38" s="1"/>
    </row>
    <row r="39" spans="1:29" s="44" customFormat="1" ht="15.75" thickBot="1" x14ac:dyDescent="0.25">
      <c r="A39" s="43"/>
      <c r="B39" s="35" t="s">
        <v>29</v>
      </c>
      <c r="C39" s="53">
        <f>C21-C37</f>
        <v>-190668</v>
      </c>
      <c r="D39" s="50">
        <f t="shared" ref="D39:AB39" si="2">D21-D37</f>
        <v>-166094</v>
      </c>
      <c r="E39" s="53">
        <f t="shared" si="2"/>
        <v>-110688</v>
      </c>
      <c r="F39" s="50">
        <f t="shared" si="2"/>
        <v>-1543</v>
      </c>
      <c r="G39" s="53">
        <f t="shared" si="2"/>
        <v>77459</v>
      </c>
      <c r="H39" s="50">
        <f t="shared" si="2"/>
        <v>191373</v>
      </c>
      <c r="I39" s="53">
        <f t="shared" si="2"/>
        <v>0</v>
      </c>
      <c r="J39" s="50">
        <f t="shared" si="2"/>
        <v>-72186</v>
      </c>
      <c r="K39" s="53">
        <f t="shared" si="2"/>
        <v>0</v>
      </c>
      <c r="L39" s="50">
        <f t="shared" si="2"/>
        <v>-99025</v>
      </c>
      <c r="M39" s="53">
        <f t="shared" si="2"/>
        <v>0</v>
      </c>
      <c r="N39" s="50">
        <f t="shared" si="2"/>
        <v>-10569</v>
      </c>
      <c r="O39" s="53">
        <f t="shared" si="2"/>
        <v>0</v>
      </c>
      <c r="P39" s="50">
        <f t="shared" si="2"/>
        <v>-104016</v>
      </c>
      <c r="Q39" s="53">
        <f t="shared" si="2"/>
        <v>0</v>
      </c>
      <c r="R39" s="50">
        <f t="shared" si="2"/>
        <v>-1085</v>
      </c>
      <c r="S39" s="53">
        <f t="shared" si="2"/>
        <v>0</v>
      </c>
      <c r="T39" s="50">
        <f t="shared" si="2"/>
        <v>64537</v>
      </c>
      <c r="U39" s="53">
        <f t="shared" si="2"/>
        <v>0</v>
      </c>
      <c r="V39" s="50">
        <f t="shared" si="2"/>
        <v>16672</v>
      </c>
      <c r="W39" s="53">
        <f t="shared" si="2"/>
        <v>0</v>
      </c>
      <c r="X39" s="50">
        <f t="shared" si="2"/>
        <v>52042</v>
      </c>
      <c r="Y39" s="53">
        <f t="shared" si="2"/>
        <v>0</v>
      </c>
      <c r="Z39" s="50">
        <f t="shared" si="2"/>
        <v>-64696</v>
      </c>
      <c r="AA39" s="53">
        <f t="shared" si="2"/>
        <v>0</v>
      </c>
      <c r="AB39" s="53">
        <f t="shared" si="2"/>
        <v>-33229</v>
      </c>
      <c r="AC39" s="43"/>
    </row>
    <row r="40" spans="1:29" ht="9.9499999999999993" customHeight="1" thickBot="1" x14ac:dyDescent="0.25">
      <c r="A40" s="1"/>
      <c r="B40" s="28"/>
      <c r="C40" s="46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9"/>
      <c r="AB40" s="64"/>
      <c r="AC40" s="1"/>
    </row>
    <row r="41" spans="1:29" s="44" customFormat="1" ht="15.75" thickBot="1" x14ac:dyDescent="0.25">
      <c r="A41" s="43"/>
      <c r="B41" s="35" t="s">
        <v>27</v>
      </c>
      <c r="C41" s="53">
        <f>'Forecast - Current'!C41</f>
        <v>913063</v>
      </c>
      <c r="D41" s="51">
        <f>C41</f>
        <v>913063</v>
      </c>
      <c r="E41" s="55">
        <f>C41</f>
        <v>913063</v>
      </c>
      <c r="F41" s="52">
        <f>D43</f>
        <v>746969</v>
      </c>
      <c r="G41" s="55">
        <f>E43</f>
        <v>802375</v>
      </c>
      <c r="H41" s="52">
        <f>F43</f>
        <v>745426</v>
      </c>
      <c r="I41" s="55">
        <f t="shared" ref="I41:AA41" si="3">G43</f>
        <v>879834</v>
      </c>
      <c r="J41" s="52">
        <f t="shared" si="3"/>
        <v>936799</v>
      </c>
      <c r="K41" s="55">
        <f t="shared" si="3"/>
        <v>879834</v>
      </c>
      <c r="L41" s="52">
        <f t="shared" si="3"/>
        <v>864613</v>
      </c>
      <c r="M41" s="55">
        <f t="shared" si="3"/>
        <v>879834</v>
      </c>
      <c r="N41" s="52">
        <f t="shared" si="3"/>
        <v>765588</v>
      </c>
      <c r="O41" s="55">
        <f t="shared" si="3"/>
        <v>879834</v>
      </c>
      <c r="P41" s="52">
        <f t="shared" si="3"/>
        <v>755019</v>
      </c>
      <c r="Q41" s="55">
        <f t="shared" si="3"/>
        <v>879834</v>
      </c>
      <c r="R41" s="52">
        <f t="shared" si="3"/>
        <v>651003</v>
      </c>
      <c r="S41" s="55">
        <f t="shared" si="3"/>
        <v>879834</v>
      </c>
      <c r="T41" s="52">
        <f t="shared" si="3"/>
        <v>649918</v>
      </c>
      <c r="U41" s="55">
        <f t="shared" si="3"/>
        <v>879834</v>
      </c>
      <c r="V41" s="52">
        <f t="shared" si="3"/>
        <v>714455</v>
      </c>
      <c r="W41" s="55">
        <f t="shared" si="3"/>
        <v>879834</v>
      </c>
      <c r="X41" s="52">
        <f t="shared" si="3"/>
        <v>731127</v>
      </c>
      <c r="Y41" s="55">
        <f t="shared" si="3"/>
        <v>879834</v>
      </c>
      <c r="Z41" s="52">
        <f t="shared" si="3"/>
        <v>783169</v>
      </c>
      <c r="AA41" s="55">
        <f t="shared" si="3"/>
        <v>879834</v>
      </c>
      <c r="AB41" s="53">
        <f>C41</f>
        <v>913063</v>
      </c>
      <c r="AC41" s="43"/>
    </row>
    <row r="42" spans="1:29" ht="9.9499999999999993" customHeight="1" thickBot="1" x14ac:dyDescent="0.25">
      <c r="A42" s="1"/>
      <c r="B42" s="28"/>
      <c r="C42" s="46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9"/>
      <c r="AB42" s="64"/>
      <c r="AC42" s="1"/>
    </row>
    <row r="43" spans="1:29" s="44" customFormat="1" ht="15.75" thickBot="1" x14ac:dyDescent="0.25">
      <c r="A43" s="43"/>
      <c r="B43" s="35" t="s">
        <v>30</v>
      </c>
      <c r="C43" s="53">
        <f>C41+C39</f>
        <v>722395</v>
      </c>
      <c r="D43" s="51">
        <f>D41+D39</f>
        <v>746969</v>
      </c>
      <c r="E43" s="54">
        <f>E41+E39</f>
        <v>802375</v>
      </c>
      <c r="F43" s="51">
        <f>F41+F39</f>
        <v>745426</v>
      </c>
      <c r="G43" s="54">
        <f t="shared" ref="G43:AB43" si="4">G41+G39</f>
        <v>879834</v>
      </c>
      <c r="H43" s="51">
        <f t="shared" si="4"/>
        <v>936799</v>
      </c>
      <c r="I43" s="54">
        <f t="shared" si="4"/>
        <v>879834</v>
      </c>
      <c r="J43" s="51">
        <f t="shared" si="4"/>
        <v>864613</v>
      </c>
      <c r="K43" s="54">
        <f t="shared" si="4"/>
        <v>879834</v>
      </c>
      <c r="L43" s="51">
        <f t="shared" si="4"/>
        <v>765588</v>
      </c>
      <c r="M43" s="54">
        <f t="shared" si="4"/>
        <v>879834</v>
      </c>
      <c r="N43" s="51">
        <f t="shared" si="4"/>
        <v>755019</v>
      </c>
      <c r="O43" s="54">
        <f t="shared" si="4"/>
        <v>879834</v>
      </c>
      <c r="P43" s="51">
        <f t="shared" si="4"/>
        <v>651003</v>
      </c>
      <c r="Q43" s="54">
        <f t="shared" si="4"/>
        <v>879834</v>
      </c>
      <c r="R43" s="51">
        <f t="shared" si="4"/>
        <v>649918</v>
      </c>
      <c r="S43" s="54">
        <f t="shared" si="4"/>
        <v>879834</v>
      </c>
      <c r="T43" s="51">
        <f t="shared" si="4"/>
        <v>714455</v>
      </c>
      <c r="U43" s="54">
        <f t="shared" si="4"/>
        <v>879834</v>
      </c>
      <c r="V43" s="51">
        <f t="shared" si="4"/>
        <v>731127</v>
      </c>
      <c r="W43" s="54">
        <f t="shared" si="4"/>
        <v>879834</v>
      </c>
      <c r="X43" s="51">
        <f t="shared" si="4"/>
        <v>783169</v>
      </c>
      <c r="Y43" s="54">
        <f t="shared" si="4"/>
        <v>879834</v>
      </c>
      <c r="Z43" s="51">
        <f t="shared" si="4"/>
        <v>718473</v>
      </c>
      <c r="AA43" s="54">
        <f t="shared" si="4"/>
        <v>879834</v>
      </c>
      <c r="AB43" s="54">
        <f t="shared" si="4"/>
        <v>879834</v>
      </c>
      <c r="AC43" s="43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3"/>
      <c r="AC44" s="1"/>
    </row>
  </sheetData>
  <sheetProtection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1"/>
  <sheetViews>
    <sheetView workbookViewId="0">
      <selection activeCell="I20" sqref="I20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44.6640625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10" t="s">
        <v>72</v>
      </c>
      <c r="G1" s="210"/>
      <c r="H1" s="136"/>
    </row>
    <row r="2" spans="1:9" ht="20.25" thickBot="1" x14ac:dyDescent="0.3">
      <c r="A2" s="1"/>
      <c r="B2" s="212" t="s">
        <v>45</v>
      </c>
      <c r="C2" s="213"/>
      <c r="D2" s="1"/>
      <c r="F2" s="202"/>
      <c r="G2" s="202"/>
      <c r="H2" s="137" t="s">
        <v>14</v>
      </c>
      <c r="I2" s="138" t="s">
        <v>62</v>
      </c>
    </row>
    <row r="3" spans="1:9" ht="20.25" thickBot="1" x14ac:dyDescent="0.3">
      <c r="A3" s="1"/>
      <c r="B3" s="214" t="s">
        <v>46</v>
      </c>
      <c r="C3" s="215"/>
      <c r="D3" s="1"/>
      <c r="F3" s="203" t="s">
        <v>85</v>
      </c>
      <c r="G3" s="203"/>
      <c r="H3" s="139">
        <v>8853840</v>
      </c>
      <c r="I3" s="140" t="s">
        <v>86</v>
      </c>
    </row>
    <row r="4" spans="1:9" x14ac:dyDescent="0.2">
      <c r="A4" s="1"/>
      <c r="B4" s="36">
        <v>1</v>
      </c>
      <c r="C4" s="39"/>
      <c r="D4" s="1"/>
      <c r="F4" s="203" t="s">
        <v>89</v>
      </c>
      <c r="G4" s="203"/>
      <c r="H4" s="139">
        <v>198720</v>
      </c>
      <c r="I4" s="140" t="s">
        <v>95</v>
      </c>
    </row>
    <row r="5" spans="1:9" x14ac:dyDescent="0.2">
      <c r="A5" s="1"/>
      <c r="B5" s="37">
        <f t="shared" ref="B5:B28" si="0">B4+1</f>
        <v>2</v>
      </c>
      <c r="C5" s="38"/>
      <c r="D5" s="1"/>
      <c r="F5" s="204" t="s">
        <v>63</v>
      </c>
      <c r="G5" s="205"/>
      <c r="H5" s="139">
        <v>129649</v>
      </c>
      <c r="I5" s="140" t="s">
        <v>93</v>
      </c>
    </row>
    <row r="6" spans="1:9" x14ac:dyDescent="0.2">
      <c r="A6" s="1"/>
      <c r="B6" s="37">
        <f t="shared" si="0"/>
        <v>3</v>
      </c>
      <c r="C6" s="38"/>
      <c r="D6" s="1"/>
      <c r="F6" s="204" t="s">
        <v>64</v>
      </c>
      <c r="G6" s="205"/>
      <c r="H6" s="139">
        <v>66521</v>
      </c>
      <c r="I6" s="151" t="s">
        <v>92</v>
      </c>
    </row>
    <row r="7" spans="1:9" x14ac:dyDescent="0.2">
      <c r="A7" s="1"/>
      <c r="B7" s="37">
        <f t="shared" si="0"/>
        <v>4</v>
      </c>
      <c r="C7" s="38"/>
      <c r="D7" s="1"/>
      <c r="F7" s="203" t="s">
        <v>65</v>
      </c>
      <c r="G7" s="203"/>
      <c r="H7" s="139">
        <v>32145</v>
      </c>
      <c r="I7" s="140" t="s">
        <v>12</v>
      </c>
    </row>
    <row r="8" spans="1:9" x14ac:dyDescent="0.2">
      <c r="A8" s="1"/>
      <c r="B8" s="37">
        <f t="shared" si="0"/>
        <v>5</v>
      </c>
      <c r="C8" s="38"/>
      <c r="D8" s="1"/>
      <c r="F8" s="203" t="s">
        <v>66</v>
      </c>
      <c r="G8" s="203"/>
      <c r="H8" s="139">
        <v>42240</v>
      </c>
      <c r="I8" s="140" t="s">
        <v>91</v>
      </c>
    </row>
    <row r="9" spans="1:9" x14ac:dyDescent="0.2">
      <c r="A9" s="1"/>
      <c r="B9" s="37">
        <f t="shared" si="0"/>
        <v>6</v>
      </c>
      <c r="C9" s="38"/>
      <c r="D9" s="1"/>
      <c r="F9" s="204" t="s">
        <v>87</v>
      </c>
      <c r="G9" s="205"/>
      <c r="H9" s="139">
        <v>253520</v>
      </c>
      <c r="I9" s="140" t="s">
        <v>94</v>
      </c>
    </row>
    <row r="10" spans="1:9" x14ac:dyDescent="0.2">
      <c r="A10" s="1"/>
      <c r="B10" s="37">
        <f t="shared" si="0"/>
        <v>7</v>
      </c>
      <c r="C10" s="38"/>
      <c r="D10" s="1"/>
      <c r="F10" s="204" t="s">
        <v>77</v>
      </c>
      <c r="G10" s="205"/>
      <c r="H10" s="139">
        <v>55476</v>
      </c>
      <c r="I10" s="140" t="s">
        <v>99</v>
      </c>
    </row>
    <row r="11" spans="1:9" x14ac:dyDescent="0.2">
      <c r="A11" s="1"/>
      <c r="B11" s="37">
        <f t="shared" si="0"/>
        <v>8</v>
      </c>
      <c r="C11" s="38"/>
      <c r="D11" s="1"/>
      <c r="F11" s="204" t="s">
        <v>81</v>
      </c>
      <c r="G11" s="205"/>
      <c r="H11" s="139">
        <v>13837</v>
      </c>
      <c r="I11" s="140" t="s">
        <v>100</v>
      </c>
    </row>
    <row r="12" spans="1:9" x14ac:dyDescent="0.2">
      <c r="A12" s="1"/>
      <c r="B12" s="37">
        <f t="shared" si="0"/>
        <v>9</v>
      </c>
      <c r="C12" s="38"/>
      <c r="D12" s="1"/>
      <c r="F12" s="204" t="s">
        <v>88</v>
      </c>
      <c r="G12" s="205"/>
      <c r="H12" s="139">
        <v>7500</v>
      </c>
      <c r="I12" s="140" t="s">
        <v>13</v>
      </c>
    </row>
    <row r="13" spans="1:9" x14ac:dyDescent="0.2">
      <c r="A13" s="1"/>
      <c r="B13" s="37">
        <f t="shared" si="0"/>
        <v>10</v>
      </c>
      <c r="C13" s="38"/>
      <c r="D13" s="1"/>
      <c r="F13" s="203" t="s">
        <v>82</v>
      </c>
      <c r="G13" s="203"/>
      <c r="H13" s="139">
        <v>3814</v>
      </c>
      <c r="I13" s="140" t="s">
        <v>12</v>
      </c>
    </row>
    <row r="14" spans="1:9" x14ac:dyDescent="0.2">
      <c r="A14" s="1"/>
      <c r="B14" s="37">
        <f t="shared" si="0"/>
        <v>11</v>
      </c>
      <c r="C14" s="38"/>
      <c r="D14" s="1"/>
      <c r="F14" s="209" t="s">
        <v>14</v>
      </c>
      <c r="G14" s="209"/>
      <c r="H14" s="141">
        <f>SUM(H3:H13)</f>
        <v>9657262</v>
      </c>
    </row>
    <row r="15" spans="1:9" x14ac:dyDescent="0.2">
      <c r="A15" s="1"/>
      <c r="B15" s="37">
        <f t="shared" si="0"/>
        <v>12</v>
      </c>
      <c r="C15" s="38"/>
      <c r="D15" s="1"/>
      <c r="H15" s="142"/>
    </row>
    <row r="16" spans="1:9" x14ac:dyDescent="0.2">
      <c r="A16" s="1"/>
      <c r="B16" s="37">
        <f t="shared" si="0"/>
        <v>13</v>
      </c>
      <c r="C16" s="38"/>
      <c r="D16" s="1"/>
      <c r="F16" s="211" t="s">
        <v>73</v>
      </c>
      <c r="G16" s="211"/>
      <c r="H16" s="211"/>
    </row>
    <row r="17" spans="1:9" x14ac:dyDescent="0.2">
      <c r="A17" s="1"/>
      <c r="B17" s="37">
        <f t="shared" si="0"/>
        <v>14</v>
      </c>
      <c r="C17" s="38"/>
      <c r="D17" s="1"/>
      <c r="F17" s="202"/>
      <c r="G17" s="202"/>
      <c r="H17" s="137" t="s">
        <v>14</v>
      </c>
      <c r="I17" s="138" t="s">
        <v>62</v>
      </c>
    </row>
    <row r="18" spans="1:9" x14ac:dyDescent="0.2">
      <c r="A18" s="1"/>
      <c r="B18" s="37">
        <f t="shared" si="0"/>
        <v>15</v>
      </c>
      <c r="C18" s="38"/>
      <c r="D18" s="1"/>
      <c r="F18" s="208" t="s">
        <v>67</v>
      </c>
      <c r="G18" s="208"/>
      <c r="H18" s="143">
        <v>180472</v>
      </c>
      <c r="I18" s="144" t="s">
        <v>96</v>
      </c>
    </row>
    <row r="19" spans="1:9" x14ac:dyDescent="0.2">
      <c r="A19" s="1"/>
      <c r="B19" s="37">
        <f t="shared" si="0"/>
        <v>16</v>
      </c>
      <c r="C19" s="38"/>
      <c r="D19" s="1"/>
      <c r="F19" s="208" t="s">
        <v>90</v>
      </c>
      <c r="G19" s="208"/>
      <c r="H19" s="143">
        <v>12920</v>
      </c>
      <c r="I19" s="144" t="s">
        <v>105</v>
      </c>
    </row>
    <row r="20" spans="1:9" x14ac:dyDescent="0.2">
      <c r="A20" s="1"/>
      <c r="B20" s="37">
        <f t="shared" si="0"/>
        <v>17</v>
      </c>
      <c r="C20" s="38"/>
      <c r="D20" s="1"/>
      <c r="F20" s="209" t="s">
        <v>14</v>
      </c>
      <c r="G20" s="209"/>
      <c r="H20" s="141">
        <f>SUM(H18:H19)</f>
        <v>193392</v>
      </c>
    </row>
    <row r="21" spans="1:9" x14ac:dyDescent="0.2">
      <c r="A21" s="1"/>
      <c r="B21" s="37">
        <f t="shared" si="0"/>
        <v>18</v>
      </c>
      <c r="C21" s="38"/>
      <c r="D21" s="1"/>
      <c r="F21" s="148"/>
      <c r="G21" s="148"/>
      <c r="H21" s="149"/>
    </row>
    <row r="22" spans="1:9" x14ac:dyDescent="0.2">
      <c r="A22" s="1"/>
      <c r="B22" s="37">
        <f t="shared" si="0"/>
        <v>19</v>
      </c>
      <c r="C22" s="38"/>
      <c r="D22" s="1"/>
      <c r="F22" s="211" t="s">
        <v>15</v>
      </c>
      <c r="G22" s="211"/>
      <c r="H22" s="211"/>
    </row>
    <row r="23" spans="1:9" x14ac:dyDescent="0.2">
      <c r="A23" s="1"/>
      <c r="B23" s="37">
        <f t="shared" si="0"/>
        <v>20</v>
      </c>
      <c r="C23" s="38"/>
      <c r="D23" s="1"/>
      <c r="F23" s="202"/>
      <c r="G23" s="202"/>
      <c r="H23" s="137" t="s">
        <v>14</v>
      </c>
      <c r="I23" s="138" t="s">
        <v>62</v>
      </c>
    </row>
    <row r="24" spans="1:9" x14ac:dyDescent="0.2">
      <c r="A24" s="1"/>
      <c r="B24" s="37">
        <f t="shared" si="0"/>
        <v>21</v>
      </c>
      <c r="C24" s="38"/>
      <c r="D24" s="1"/>
      <c r="F24" s="208" t="s">
        <v>15</v>
      </c>
      <c r="G24" s="208"/>
      <c r="H24" s="143">
        <v>135000</v>
      </c>
      <c r="I24" s="144" t="s">
        <v>97</v>
      </c>
    </row>
    <row r="25" spans="1:9" x14ac:dyDescent="0.2">
      <c r="A25" s="1"/>
      <c r="B25" s="37">
        <f t="shared" si="0"/>
        <v>22</v>
      </c>
      <c r="C25" s="38"/>
      <c r="D25" s="1"/>
      <c r="F25" s="209" t="s">
        <v>14</v>
      </c>
      <c r="G25" s="209"/>
      <c r="H25" s="141">
        <f>SUM(H24:H24)</f>
        <v>135000</v>
      </c>
    </row>
    <row r="26" spans="1:9" x14ac:dyDescent="0.2">
      <c r="A26" s="1"/>
      <c r="B26" s="37">
        <f t="shared" si="0"/>
        <v>23</v>
      </c>
      <c r="C26" s="38"/>
      <c r="D26" s="1"/>
      <c r="F26" s="146"/>
      <c r="G26" s="146"/>
      <c r="H26" s="147"/>
    </row>
    <row r="27" spans="1:9" x14ac:dyDescent="0.2">
      <c r="A27" s="1"/>
      <c r="B27" s="37">
        <f t="shared" si="0"/>
        <v>24</v>
      </c>
      <c r="C27" s="38"/>
      <c r="D27" s="1"/>
      <c r="F27" s="211" t="s">
        <v>74</v>
      </c>
      <c r="G27" s="211"/>
      <c r="H27" s="211"/>
    </row>
    <row r="28" spans="1:9" x14ac:dyDescent="0.2">
      <c r="A28" s="1"/>
      <c r="B28" s="37">
        <f t="shared" si="0"/>
        <v>25</v>
      </c>
      <c r="C28" s="38"/>
      <c r="D28" s="1"/>
      <c r="F28" s="202"/>
      <c r="G28" s="202"/>
      <c r="H28" s="137" t="s">
        <v>14</v>
      </c>
      <c r="I28" s="138" t="s">
        <v>62</v>
      </c>
    </row>
    <row r="29" spans="1:9" x14ac:dyDescent="0.2">
      <c r="A29" s="1"/>
      <c r="B29" s="1"/>
      <c r="C29" s="1"/>
      <c r="D29" s="1"/>
      <c r="F29" s="208" t="s">
        <v>74</v>
      </c>
      <c r="G29" s="208"/>
      <c r="H29" s="143">
        <v>74500</v>
      </c>
      <c r="I29" s="144" t="s">
        <v>98</v>
      </c>
    </row>
    <row r="30" spans="1:9" x14ac:dyDescent="0.2">
      <c r="F30" s="209" t="s">
        <v>14</v>
      </c>
      <c r="G30" s="209"/>
      <c r="H30" s="141">
        <f>SUM(H29:H29)</f>
        <v>74500</v>
      </c>
    </row>
    <row r="31" spans="1:9" x14ac:dyDescent="0.2">
      <c r="F31" s="146"/>
      <c r="G31" s="146"/>
      <c r="H31" s="147"/>
    </row>
    <row r="32" spans="1:9" x14ac:dyDescent="0.2">
      <c r="F32" s="211" t="s">
        <v>78</v>
      </c>
      <c r="G32" s="211"/>
      <c r="H32" s="211"/>
      <c r="I32" s="211"/>
    </row>
    <row r="33" spans="6:9" x14ac:dyDescent="0.2">
      <c r="F33" s="202"/>
      <c r="G33" s="202"/>
      <c r="H33" s="145" t="s">
        <v>14</v>
      </c>
      <c r="I33" s="140" t="s">
        <v>62</v>
      </c>
    </row>
    <row r="34" spans="6:9" x14ac:dyDescent="0.2">
      <c r="F34" s="206" t="s">
        <v>79</v>
      </c>
      <c r="G34" s="207"/>
      <c r="H34" s="139">
        <v>8376620</v>
      </c>
      <c r="I34" s="140" t="s">
        <v>101</v>
      </c>
    </row>
    <row r="35" spans="6:9" x14ac:dyDescent="0.2">
      <c r="F35" s="206"/>
      <c r="G35" s="207"/>
      <c r="H35" s="150"/>
      <c r="I35" s="140"/>
    </row>
    <row r="36" spans="6:9" x14ac:dyDescent="0.2">
      <c r="F36" s="203" t="s">
        <v>68</v>
      </c>
      <c r="G36" s="203"/>
      <c r="H36" s="139">
        <v>36500</v>
      </c>
      <c r="I36" s="140" t="s">
        <v>3</v>
      </c>
    </row>
    <row r="37" spans="6:9" x14ac:dyDescent="0.2">
      <c r="F37" s="204" t="s">
        <v>69</v>
      </c>
      <c r="G37" s="205"/>
      <c r="H37" s="139">
        <v>189300</v>
      </c>
      <c r="I37" s="140" t="s">
        <v>103</v>
      </c>
    </row>
    <row r="38" spans="6:9" x14ac:dyDescent="0.2">
      <c r="F38" s="203" t="s">
        <v>70</v>
      </c>
      <c r="G38" s="203"/>
      <c r="H38" s="139">
        <v>17808</v>
      </c>
      <c r="I38" s="140" t="s">
        <v>102</v>
      </c>
    </row>
    <row r="39" spans="6:9" x14ac:dyDescent="0.2">
      <c r="F39" s="204"/>
      <c r="G39" s="205"/>
      <c r="H39" s="139"/>
      <c r="I39" s="140"/>
    </row>
    <row r="40" spans="6:9" x14ac:dyDescent="0.2">
      <c r="F40" s="203" t="s">
        <v>71</v>
      </c>
      <c r="G40" s="203"/>
      <c r="H40" s="139">
        <v>1526746</v>
      </c>
      <c r="I40" s="140" t="s">
        <v>104</v>
      </c>
    </row>
    <row r="41" spans="6:9" x14ac:dyDescent="0.2">
      <c r="F41" s="209" t="s">
        <v>14</v>
      </c>
      <c r="G41" s="209"/>
      <c r="H41" s="141">
        <f>SUM(H34:H40)</f>
        <v>10146974</v>
      </c>
    </row>
  </sheetData>
  <mergeCells count="39">
    <mergeCell ref="B2:C2"/>
    <mergeCell ref="B3:C3"/>
    <mergeCell ref="F17:G17"/>
    <mergeCell ref="F18:G18"/>
    <mergeCell ref="F20:G20"/>
    <mergeCell ref="F10:G10"/>
    <mergeCell ref="F9:G9"/>
    <mergeCell ref="F11:G11"/>
    <mergeCell ref="F12:G12"/>
    <mergeCell ref="F19:G19"/>
    <mergeCell ref="F41:G41"/>
    <mergeCell ref="F1:G1"/>
    <mergeCell ref="F2:G2"/>
    <mergeCell ref="F3:G3"/>
    <mergeCell ref="F4:G4"/>
    <mergeCell ref="F5:G5"/>
    <mergeCell ref="F6:G6"/>
    <mergeCell ref="F7:G7"/>
    <mergeCell ref="F8:G8"/>
    <mergeCell ref="F13:G13"/>
    <mergeCell ref="F14:G14"/>
    <mergeCell ref="F16:H16"/>
    <mergeCell ref="F27:H27"/>
    <mergeCell ref="F32:I32"/>
    <mergeCell ref="F28:G28"/>
    <mergeCell ref="F22:H22"/>
    <mergeCell ref="F23:G23"/>
    <mergeCell ref="F38:G38"/>
    <mergeCell ref="F40:G40"/>
    <mergeCell ref="F33:G33"/>
    <mergeCell ref="F36:G36"/>
    <mergeCell ref="F37:G37"/>
    <mergeCell ref="F34:G34"/>
    <mergeCell ref="F39:G39"/>
    <mergeCell ref="F35:G35"/>
    <mergeCell ref="F24:G24"/>
    <mergeCell ref="F29:G29"/>
    <mergeCell ref="F30:G30"/>
    <mergeCell ref="F25:G25"/>
  </mergeCells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Stuart Roberts</cp:lastModifiedBy>
  <cp:lastPrinted>2023-11-13T12:46:07Z</cp:lastPrinted>
  <dcterms:created xsi:type="dcterms:W3CDTF">2018-10-18T12:28:19Z</dcterms:created>
  <dcterms:modified xsi:type="dcterms:W3CDTF">2023-11-15T11:50:50Z</dcterms:modified>
</cp:coreProperties>
</file>