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2" l="1"/>
  <c r="M30" i="2" l="1"/>
  <c r="M15" i="2"/>
  <c r="K15" i="2" l="1"/>
  <c r="G30" i="2" l="1"/>
  <c r="G15" i="2"/>
  <c r="E15" i="2"/>
  <c r="E30" i="2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7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D11" i="6"/>
  <c r="M9" i="6"/>
  <c r="I9" i="6"/>
  <c r="E9" i="6"/>
  <c r="F7" i="6"/>
  <c r="L7" i="6"/>
  <c r="H7" i="6"/>
  <c r="E7" i="6"/>
  <c r="N7" i="6"/>
  <c r="K7" i="6"/>
  <c r="M7" i="6"/>
  <c r="D7" i="6"/>
  <c r="G7" i="6"/>
  <c r="I7" i="6"/>
  <c r="J7" i="6"/>
  <c r="H41" i="5" l="1"/>
  <c r="H25" i="5" l="1"/>
  <c r="H30" i="5" l="1"/>
  <c r="H20" i="5" l="1"/>
  <c r="H15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Q39" i="2" l="1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<sst xmlns="http://schemas.openxmlformats.org/spreadsheetml/2006/main" count="189" uniqueCount="105">
  <si>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</si>
  <si>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</si>
  <si>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</si>
  <si>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</si>
  <si>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</si>
  <si>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</si>
  <si>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</si>
  <si>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</si>
  <si>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</si>
  <si>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</si>
  <si>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</si>
  <si>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</si>
  <si>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</si>
  <si>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</si>
  <si>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</si>
  <si>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</si>
  <si>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</si>
  <si>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</si>
  <si>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</si>
  <si>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</si>
  <si>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</si>
  <si>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</si>
  <si>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</si>
  <si>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</si>
  <si>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</si>
  <si>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</si>
  <si>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</si>
  <si>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</si>
  <si>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</si>
  <si>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</si>
  <si>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</si>
  <si>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</si>
  <si>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</si>
  <si>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</si>
  <si>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</si>
  <si>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</si>
  <si>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</si>
  <si>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</si>
  <si>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</si>
  <si>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</si>
  <si>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</si>
  <si>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</si>
  <si>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</si>
  <si>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</si>
  <si>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</si>
  <si>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</si>
  <si>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</si>
  <si>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</si>
  <si>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</si>
  <si>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</si>
  <si>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</si>
  <si>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</si>
  <si>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</si>
  <si>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</si>
  <si>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</si>
  <si>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</si>
  <si>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</si>
  <si>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</si>
  <si>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</si>
  <si>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</si>
  <si>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</si>
  <si>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</si>
  <si>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</si>
  <si>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</si>
  <si>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</si>
  <si>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</si>
  <si>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</si>
  <si>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</si>
  <si>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</si>
  <si>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</si>
  <si>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</si>
  <si>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</si>
  <si>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</si>
  <si>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</si>
  <si>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</si>
  <si>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</si>
  <si>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</si>
  <si>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</si>
  <si>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 xml:space="preserve">ESFA CIF - </t>
  </si>
  <si>
    <t>ESFA SALIX PSDS</t>
  </si>
  <si>
    <t>16-19 Funding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</si>
  <si>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</si>
  <si>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</si>
  <si>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</si>
  <si>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</si>
  <si>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Supplementary Grant</t>
  </si>
  <si>
    <t>School Led tuition Grant</t>
  </si>
  <si>
    <t>SSI Grant</t>
  </si>
  <si>
    <t>11 x £11k + Aug £9k</t>
  </si>
  <si>
    <t>Oct £43k, Feb £43k, June £43K</t>
  </si>
  <si>
    <t>£3254 X12</t>
  </si>
  <si>
    <t>£547,548 x12</t>
  </si>
  <si>
    <t>Nov £49k, May £29k</t>
  </si>
  <si>
    <t>£157,913 x12</t>
  </si>
  <si>
    <t>Sept £14,889 Apr £10,635</t>
  </si>
  <si>
    <t>Nov £126,101 June £90,072</t>
  </si>
  <si>
    <t>Oct Jan May £10,530</t>
  </si>
  <si>
    <t>Oct Jan Apr Jul £13,110</t>
  </si>
  <si>
    <t>£629,835 x12</t>
  </si>
  <si>
    <t>Oct £30k Jan 95k Jun £15k Jul £10k</t>
  </si>
  <si>
    <t>£148,978 x12</t>
  </si>
  <si>
    <t>Oct, Jan, Apr, Jul £44,817</t>
  </si>
  <si>
    <t>Sep 10,904 Mar 10904</t>
  </si>
  <si>
    <t>Cashflow Expected\Actuals 2022-23</t>
  </si>
  <si>
    <t>Cashflow Forecast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</si>
</sst>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3" sqref="B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104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2"/>
      <c r="D5" s="18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0"/>
      <c r="P5" s="172"/>
      <c r="Q5" s="174"/>
      <c r="R5" s="1"/>
    </row>
    <row r="6" spans="1:18" s="3" customFormat="1" ht="9.9499999999999993" customHeight="1" thickBot="1" x14ac:dyDescent="0.25">
      <c r="A6" s="4"/>
      <c r="B6" s="9"/>
      <c r="C6" s="173"/>
      <c r="D6" s="181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1"/>
      <c r="P6" s="173"/>
      <c r="Q6" s="175"/>
      <c r="R6" s="4"/>
    </row>
    <row r="7" spans="1:18" x14ac:dyDescent="0.2">
      <c r="A7" s="1"/>
      <c r="B7" s="12" t="s">
        <v>84</v>
      </c>
      <c r="C7" s="94">
        <v>9117671</v>
      </c>
      <c r="D7" s="95">
        <f>547548+157913+44817+14889</f>
        <v>765167</v>
      </c>
      <c r="E7" s="95">
        <f>547548+157913+13110+10530</f>
        <v>729101</v>
      </c>
      <c r="F7" s="95">
        <f>547548+157913+49000+126101+3814</f>
        <v>884376</v>
      </c>
      <c r="G7" s="95">
        <f t="shared" ref="G7:J7" si="0">547548+157913</f>
        <v>705461</v>
      </c>
      <c r="H7" s="95">
        <f>547548+157913+44817+13110+10530</f>
        <v>773918</v>
      </c>
      <c r="I7" s="95">
        <f t="shared" si="0"/>
        <v>705461</v>
      </c>
      <c r="J7" s="95">
        <f t="shared" si="0"/>
        <v>705461</v>
      </c>
      <c r="K7" s="95">
        <f>547548+157913+44817+10635+13110</f>
        <v>774023</v>
      </c>
      <c r="L7" s="95">
        <f>547548+157913+29000+34000+10530</f>
        <v>778991</v>
      </c>
      <c r="M7" s="95">
        <f>547548+157913+90072</f>
        <v>795533</v>
      </c>
      <c r="N7" s="95">
        <f>547548+157913+44817+30117+13110</f>
        <v>793505</v>
      </c>
      <c r="O7" s="95">
        <f>547548+157913+1213</f>
        <v>706674</v>
      </c>
      <c r="P7" s="100">
        <f>SUM(D7:O7)</f>
        <v>9117671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129000</v>
      </c>
      <c r="D9" s="89"/>
      <c r="E9" s="90">
        <f>43000</f>
        <v>43000</v>
      </c>
      <c r="F9" s="90"/>
      <c r="G9" s="90"/>
      <c r="H9" s="90"/>
      <c r="I9" s="90">
        <f>43000</f>
        <v>43000</v>
      </c>
      <c r="J9" s="90"/>
      <c r="K9" s="90"/>
      <c r="L9" s="90"/>
      <c r="M9" s="90">
        <f>43000</f>
        <v>43000</v>
      </c>
      <c r="N9" s="90"/>
      <c r="O9" s="91"/>
      <c r="P9" s="93">
        <f>SUM(D9:O9)</f>
        <v>129000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130000</v>
      </c>
      <c r="D11" s="89">
        <f>11000</f>
        <v>11000</v>
      </c>
      <c r="E11" s="89">
        <f>11000</f>
        <v>11000</v>
      </c>
      <c r="F11" s="89">
        <f>11000</f>
        <v>11000</v>
      </c>
      <c r="G11" s="89">
        <f>11000</f>
        <v>11000</v>
      </c>
      <c r="H11" s="89">
        <f>11000</f>
        <v>11000</v>
      </c>
      <c r="I11" s="89">
        <f>11000</f>
        <v>11000</v>
      </c>
      <c r="J11" s="89">
        <f>11000</f>
        <v>11000</v>
      </c>
      <c r="K11" s="89">
        <f>11000</f>
        <v>11000</v>
      </c>
      <c r="L11" s="89">
        <f>11000</f>
        <v>11000</v>
      </c>
      <c r="M11" s="89">
        <f>11000</f>
        <v>11000</v>
      </c>
      <c r="N11" s="89">
        <f>11000</f>
        <v>11000</v>
      </c>
      <c r="O11" s="89">
        <f>9000</f>
        <v>9000</v>
      </c>
      <c r="P11" s="93">
        <f>SUM(D11:O11)</f>
        <v>130000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39050</v>
      </c>
      <c r="D15" s="89">
        <f>3254</f>
        <v>3254</v>
      </c>
      <c r="E15" s="89">
        <f>3254</f>
        <v>3254</v>
      </c>
      <c r="F15" s="89">
        <f>3254</f>
        <v>3254</v>
      </c>
      <c r="G15" s="89">
        <f>3254</f>
        <v>3254</v>
      </c>
      <c r="H15" s="89">
        <f>3254</f>
        <v>3254</v>
      </c>
      <c r="I15" s="89">
        <f>3254</f>
        <v>3254</v>
      </c>
      <c r="J15" s="89">
        <f>3254</f>
        <v>3254</v>
      </c>
      <c r="K15" s="89">
        <f>3254</f>
        <v>3254</v>
      </c>
      <c r="L15" s="89">
        <f>3254</f>
        <v>3254</v>
      </c>
      <c r="M15" s="89">
        <f>3254</f>
        <v>3254</v>
      </c>
      <c r="N15" s="89">
        <f>3254</f>
        <v>3254</v>
      </c>
      <c r="O15" s="89">
        <f>3256</f>
        <v>3256</v>
      </c>
      <c r="P15" s="93">
        <f>SUM(D15:O15)</f>
        <v>39050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0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9415721</v>
      </c>
      <c r="D21" s="74">
        <f t="shared" ref="D21:O21" si="1">SUM(D7:D20)</f>
        <v>779421</v>
      </c>
      <c r="E21" s="74">
        <f t="shared" si="1"/>
        <v>786355</v>
      </c>
      <c r="F21" s="74">
        <f t="shared" si="1"/>
        <v>898630</v>
      </c>
      <c r="G21" s="74">
        <f t="shared" si="1"/>
        <v>719715</v>
      </c>
      <c r="H21" s="74">
        <f t="shared" si="1"/>
        <v>788172</v>
      </c>
      <c r="I21" s="74">
        <f t="shared" si="1"/>
        <v>762715</v>
      </c>
      <c r="J21" s="74">
        <f t="shared" si="1"/>
        <v>719715</v>
      </c>
      <c r="K21" s="74">
        <f t="shared" si="1"/>
        <v>788277</v>
      </c>
      <c r="L21" s="74">
        <f t="shared" si="1"/>
        <v>793245</v>
      </c>
      <c r="M21" s="74">
        <f t="shared" si="1"/>
        <v>852787</v>
      </c>
      <c r="N21" s="74">
        <f t="shared" si="1"/>
        <v>807759</v>
      </c>
      <c r="O21" s="75">
        <f t="shared" si="1"/>
        <v>718930</v>
      </c>
      <c r="P21" s="73">
        <f>SUM(D21:O21)</f>
        <v>9415721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2"/>
      <c r="D24" s="17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8"/>
      <c r="P24" s="162"/>
      <c r="Q24" s="164"/>
      <c r="R24" s="1"/>
    </row>
    <row r="25" spans="1:18" ht="9.9499999999999993" customHeight="1" thickBot="1" x14ac:dyDescent="0.25">
      <c r="A25" s="1"/>
      <c r="B25" s="6"/>
      <c r="C25" s="163"/>
      <c r="D25" s="17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9"/>
      <c r="P25" s="163"/>
      <c r="Q25" s="165"/>
      <c r="R25" s="1"/>
    </row>
    <row r="26" spans="1:18" x14ac:dyDescent="0.2">
      <c r="A26" s="1"/>
      <c r="B26" s="14" t="s">
        <v>22</v>
      </c>
      <c r="C26" s="86">
        <v>7558030</v>
      </c>
      <c r="D26" s="87">
        <f>629835</f>
        <v>629835</v>
      </c>
      <c r="E26" s="87">
        <f t="shared" ref="E26:N26" si="2">629835</f>
        <v>629835</v>
      </c>
      <c r="F26" s="87">
        <f t="shared" si="2"/>
        <v>629835</v>
      </c>
      <c r="G26" s="87">
        <f t="shared" si="2"/>
        <v>629835</v>
      </c>
      <c r="H26" s="87">
        <f t="shared" si="2"/>
        <v>629835</v>
      </c>
      <c r="I26" s="87">
        <f t="shared" si="2"/>
        <v>629835</v>
      </c>
      <c r="J26" s="87">
        <f t="shared" si="2"/>
        <v>629835</v>
      </c>
      <c r="K26" s="87">
        <f t="shared" si="2"/>
        <v>629835</v>
      </c>
      <c r="L26" s="87">
        <f t="shared" si="2"/>
        <v>629835</v>
      </c>
      <c r="M26" s="87">
        <f t="shared" si="2"/>
        <v>629835</v>
      </c>
      <c r="N26" s="87">
        <f t="shared" si="2"/>
        <v>629835</v>
      </c>
      <c r="O26" s="87">
        <f>629845</f>
        <v>629845</v>
      </c>
      <c r="P26" s="92">
        <f>SUM(D26:O26)</f>
        <v>7558030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1994554</v>
      </c>
      <c r="D30" s="89">
        <f>148978+10904</f>
        <v>159882</v>
      </c>
      <c r="E30" s="89">
        <f>148978+35000+30000</f>
        <v>213978</v>
      </c>
      <c r="F30" s="89">
        <f t="shared" ref="F30:L30" si="3">148978</f>
        <v>148978</v>
      </c>
      <c r="G30" s="89">
        <f t="shared" si="3"/>
        <v>148978</v>
      </c>
      <c r="H30" s="89">
        <f>148978+95000</f>
        <v>243978</v>
      </c>
      <c r="I30" s="89">
        <f t="shared" si="3"/>
        <v>148978</v>
      </c>
      <c r="J30" s="89">
        <f>148978+10904</f>
        <v>159882</v>
      </c>
      <c r="K30" s="89">
        <f t="shared" si="3"/>
        <v>148978</v>
      </c>
      <c r="L30" s="89">
        <f t="shared" si="3"/>
        <v>148978</v>
      </c>
      <c r="M30" s="89">
        <f>148978+15000</f>
        <v>163978</v>
      </c>
      <c r="N30" s="89">
        <f>148978+10000</f>
        <v>158978</v>
      </c>
      <c r="O30" s="89">
        <f>148988</f>
        <v>148988</v>
      </c>
      <c r="P30" s="92">
        <f>SUM(D30:O30)</f>
        <v>1994554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78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78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12467</v>
      </c>
      <c r="D35" s="89">
        <v>12467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12467</v>
      </c>
      <c r="Q35" s="136"/>
      <c r="R35" s="1"/>
    </row>
    <row r="36" spans="1:18" ht="15.75" thickBot="1" x14ac:dyDescent="0.25">
      <c r="A36" s="1"/>
      <c r="B36" s="7" t="s">
        <v>26</v>
      </c>
      <c r="C36" s="88">
        <v>130594</v>
      </c>
      <c r="D36" s="89">
        <v>130594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130594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9695645</v>
      </c>
      <c r="D37" s="78">
        <f t="shared" ref="D37:O37" si="4">SUM(D26:D36)</f>
        <v>932778</v>
      </c>
      <c r="E37" s="78">
        <f t="shared" si="4"/>
        <v>843813</v>
      </c>
      <c r="F37" s="78">
        <f t="shared" si="4"/>
        <v>778813</v>
      </c>
      <c r="G37" s="78">
        <f t="shared" si="4"/>
        <v>778813</v>
      </c>
      <c r="H37" s="78">
        <f t="shared" si="4"/>
        <v>873813</v>
      </c>
      <c r="I37" s="78">
        <f t="shared" si="4"/>
        <v>778813</v>
      </c>
      <c r="J37" s="78">
        <f t="shared" si="4"/>
        <v>789717</v>
      </c>
      <c r="K37" s="78">
        <f t="shared" si="4"/>
        <v>778813</v>
      </c>
      <c r="L37" s="78">
        <f t="shared" si="4"/>
        <v>778813</v>
      </c>
      <c r="M37" s="78">
        <f t="shared" si="4"/>
        <v>793813</v>
      </c>
      <c r="N37" s="78">
        <f t="shared" si="4"/>
        <v>788813</v>
      </c>
      <c r="O37" s="79">
        <f t="shared" si="4"/>
        <v>778833</v>
      </c>
      <c r="P37" s="77">
        <f>SUM(D37:O37)</f>
        <v>9695645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-279924</v>
      </c>
      <c r="D39" s="77">
        <f>D21-D37</f>
        <v>-153357</v>
      </c>
      <c r="E39" s="77">
        <f t="shared" ref="E39:P39" si="5">E21-E37</f>
        <v>-57458</v>
      </c>
      <c r="F39" s="77">
        <f t="shared" si="5"/>
        <v>119817</v>
      </c>
      <c r="G39" s="77">
        <f t="shared" si="5"/>
        <v>-59098</v>
      </c>
      <c r="H39" s="77">
        <f t="shared" si="5"/>
        <v>-85641</v>
      </c>
      <c r="I39" s="77">
        <f t="shared" si="5"/>
        <v>-16098</v>
      </c>
      <c r="J39" s="77">
        <f t="shared" si="5"/>
        <v>-70002</v>
      </c>
      <c r="K39" s="77">
        <f t="shared" si="5"/>
        <v>9464</v>
      </c>
      <c r="L39" s="77">
        <f t="shared" si="5"/>
        <v>14432</v>
      </c>
      <c r="M39" s="77">
        <f t="shared" si="5"/>
        <v>58974</v>
      </c>
      <c r="N39" s="77">
        <f t="shared" si="5"/>
        <v>18946</v>
      </c>
      <c r="O39" s="77">
        <f t="shared" si="5"/>
        <v>-59903</v>
      </c>
      <c r="P39" s="77">
        <f t="shared" si="5"/>
        <v>-279924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783792</v>
      </c>
      <c r="D41" s="78">
        <f>C41</f>
        <v>783792</v>
      </c>
      <c r="E41" s="85">
        <f>D41+D39</f>
        <v>630435</v>
      </c>
      <c r="F41" s="85">
        <f t="shared" ref="F41:O41" si="6">E41+E39</f>
        <v>572977</v>
      </c>
      <c r="G41" s="85">
        <f t="shared" si="6"/>
        <v>692794</v>
      </c>
      <c r="H41" s="85">
        <f t="shared" si="6"/>
        <v>633696</v>
      </c>
      <c r="I41" s="85">
        <f t="shared" si="6"/>
        <v>548055</v>
      </c>
      <c r="J41" s="85">
        <f t="shared" si="6"/>
        <v>531957</v>
      </c>
      <c r="K41" s="85">
        <f t="shared" si="6"/>
        <v>461955</v>
      </c>
      <c r="L41" s="85">
        <f t="shared" si="6"/>
        <v>471419</v>
      </c>
      <c r="M41" s="85">
        <f t="shared" si="6"/>
        <v>485851</v>
      </c>
      <c r="N41" s="85">
        <f t="shared" si="6"/>
        <v>544825</v>
      </c>
      <c r="O41" s="85">
        <f t="shared" si="6"/>
        <v>563771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503868</v>
      </c>
      <c r="D43" s="77">
        <f t="shared" ref="D43:O43" si="7">D41+D39</f>
        <v>630435</v>
      </c>
      <c r="E43" s="77">
        <f t="shared" si="7"/>
        <v>572977</v>
      </c>
      <c r="F43" s="77">
        <f t="shared" si="7"/>
        <v>692794</v>
      </c>
      <c r="G43" s="77">
        <f t="shared" si="7"/>
        <v>633696</v>
      </c>
      <c r="H43" s="77">
        <f t="shared" si="7"/>
        <v>548055</v>
      </c>
      <c r="I43" s="77">
        <f t="shared" si="7"/>
        <v>531957</v>
      </c>
      <c r="J43" s="77">
        <f t="shared" si="7"/>
        <v>461955</v>
      </c>
      <c r="K43" s="77">
        <f t="shared" si="7"/>
        <v>471419</v>
      </c>
      <c r="L43" s="77">
        <f t="shared" si="7"/>
        <v>485851</v>
      </c>
      <c r="M43" s="77">
        <f t="shared" si="7"/>
        <v>544825</v>
      </c>
      <c r="N43" s="77">
        <f t="shared" si="7"/>
        <v>563771</v>
      </c>
      <c r="O43" s="77">
        <f t="shared" si="7"/>
        <v>503868</v>
      </c>
      <c r="P43" s="77">
        <f>O43</f>
        <v>503868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L10" activePane="bottomRight" state="frozen"/>
      <selection pane="topRight" activeCell="C1" sqref="C1"/>
      <selection pane="bottomLeft" activeCell="A4" sqref="A4"/>
      <selection pane="bottomRight" activeCell="Q31" sqref="Q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6" width="9.77734375" style="2" customWidth="1"/>
    <col min="17" max="17" width="10.5546875" style="2" customWidth="1"/>
    <col min="18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4" t="s">
        <v>103</v>
      </c>
      <c r="C2" s="18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8"/>
      <c r="D5" s="210"/>
      <c r="E5" s="186"/>
      <c r="F5" s="182"/>
      <c r="G5" s="186"/>
      <c r="H5" s="198"/>
      <c r="I5" s="186"/>
      <c r="J5" s="182"/>
      <c r="K5" s="186"/>
      <c r="L5" s="182"/>
      <c r="M5" s="186"/>
      <c r="N5" s="198"/>
      <c r="O5" s="186"/>
      <c r="P5" s="198"/>
      <c r="Q5" s="186"/>
      <c r="R5" s="182"/>
      <c r="S5" s="186"/>
      <c r="T5" s="182"/>
      <c r="U5" s="186"/>
      <c r="V5" s="182"/>
      <c r="W5" s="186"/>
      <c r="X5" s="182"/>
      <c r="Y5" s="186"/>
      <c r="Z5" s="182"/>
      <c r="AA5" s="204"/>
      <c r="AB5" s="202"/>
      <c r="AC5" s="1"/>
    </row>
    <row r="6" spans="1:29" s="3" customFormat="1" ht="9.9499999999999993" customHeight="1" thickBot="1" x14ac:dyDescent="0.25">
      <c r="A6" s="4"/>
      <c r="B6" s="33"/>
      <c r="C6" s="209"/>
      <c r="D6" s="211"/>
      <c r="E6" s="187"/>
      <c r="F6" s="183"/>
      <c r="G6" s="187"/>
      <c r="H6" s="199"/>
      <c r="I6" s="187"/>
      <c r="J6" s="183"/>
      <c r="K6" s="187"/>
      <c r="L6" s="183"/>
      <c r="M6" s="187"/>
      <c r="N6" s="199"/>
      <c r="O6" s="187"/>
      <c r="P6" s="199"/>
      <c r="Q6" s="187"/>
      <c r="R6" s="183"/>
      <c r="S6" s="187"/>
      <c r="T6" s="183"/>
      <c r="U6" s="187"/>
      <c r="V6" s="183"/>
      <c r="W6" s="187"/>
      <c r="X6" s="183"/>
      <c r="Y6" s="187"/>
      <c r="Z6" s="183"/>
      <c r="AA6" s="205"/>
      <c r="AB6" s="203"/>
      <c r="AC6" s="4"/>
    </row>
    <row r="7" spans="1:29" x14ac:dyDescent="0.2">
      <c r="A7" s="1"/>
      <c r="B7" s="108" t="s">
        <v>60</v>
      </c>
      <c r="C7" s="58">
        <f>'Forecast - Current'!C7</f>
        <v>9117671</v>
      </c>
      <c r="D7" s="122">
        <f>'Forecast - Current'!D7</f>
        <v>765167</v>
      </c>
      <c r="E7" s="102">
        <v>711534</v>
      </c>
      <c r="F7" s="125">
        <f>'Forecast - Current'!E7</f>
        <v>729101</v>
      </c>
      <c r="G7" s="102">
        <v>777540</v>
      </c>
      <c r="H7" s="125">
        <f>'Forecast - Current'!F7</f>
        <v>884376</v>
      </c>
      <c r="I7" s="102">
        <v>885433</v>
      </c>
      <c r="J7" s="125">
        <f>'Forecast - Current'!G7</f>
        <v>705461</v>
      </c>
      <c r="K7" s="102">
        <v>705420</v>
      </c>
      <c r="L7" s="125">
        <f>'Forecast - Current'!H7</f>
        <v>773918</v>
      </c>
      <c r="M7" s="102">
        <v>776570</v>
      </c>
      <c r="N7" s="125">
        <f>'Forecast - Current'!I7</f>
        <v>705461</v>
      </c>
      <c r="O7" s="102">
        <v>705420</v>
      </c>
      <c r="P7" s="125">
        <f>'Forecast - Current'!J7</f>
        <v>705461</v>
      </c>
      <c r="Q7" s="102">
        <v>705561</v>
      </c>
      <c r="R7" s="125">
        <f>'Forecast - Current'!K7</f>
        <v>774023</v>
      </c>
      <c r="S7" s="102"/>
      <c r="T7" s="125">
        <f>'Forecast - Current'!L7</f>
        <v>778991</v>
      </c>
      <c r="U7" s="102"/>
      <c r="V7" s="125">
        <f>'Forecast - Current'!M7</f>
        <v>795533</v>
      </c>
      <c r="W7" s="102"/>
      <c r="X7" s="125">
        <f>'Forecast - Current'!N7</f>
        <v>793505</v>
      </c>
      <c r="Y7" s="102"/>
      <c r="Z7" s="125">
        <f>'Forecast - Current'!O7</f>
        <v>706674</v>
      </c>
      <c r="AA7" s="103"/>
      <c r="AB7" s="119">
        <f>E7+G7+I7+K7+M7+O7+Q7+S7+U7+W7+Y7+AA7</f>
        <v>5267478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129000</v>
      </c>
      <c r="D9" s="123">
        <f>'Forecast - Current'!D9</f>
        <v>0</v>
      </c>
      <c r="E9" s="104">
        <v>990</v>
      </c>
      <c r="F9" s="126">
        <f>'Forecast - Current'!E9</f>
        <v>43000</v>
      </c>
      <c r="G9" s="104">
        <v>44549</v>
      </c>
      <c r="H9" s="126">
        <f>'Forecast - Current'!F9</f>
        <v>0</v>
      </c>
      <c r="I9" s="104">
        <v>0</v>
      </c>
      <c r="J9" s="126">
        <f>'Forecast - Current'!G9</f>
        <v>0</v>
      </c>
      <c r="K9" s="104">
        <v>12640</v>
      </c>
      <c r="L9" s="126">
        <f>'Forecast - Current'!H9</f>
        <v>0</v>
      </c>
      <c r="M9" s="104">
        <v>0</v>
      </c>
      <c r="N9" s="126">
        <f>'Forecast - Current'!I9</f>
        <v>43000</v>
      </c>
      <c r="O9" s="104">
        <v>40506</v>
      </c>
      <c r="P9" s="126">
        <f>'Forecast - Current'!J9</f>
        <v>0</v>
      </c>
      <c r="Q9" s="104">
        <v>708</v>
      </c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43000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99393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130000</v>
      </c>
      <c r="D11" s="123">
        <f>'Forecast - Current'!D11</f>
        <v>11000</v>
      </c>
      <c r="E11" s="104">
        <v>13607</v>
      </c>
      <c r="F11" s="126">
        <f>'Forecast - Current'!E11</f>
        <v>11000</v>
      </c>
      <c r="G11" s="104">
        <v>11581</v>
      </c>
      <c r="H11" s="126">
        <f>'Forecast - Current'!F11</f>
        <v>11000</v>
      </c>
      <c r="I11" s="104">
        <v>14314</v>
      </c>
      <c r="J11" s="126">
        <f>'Forecast - Current'!G11</f>
        <v>11000</v>
      </c>
      <c r="K11" s="104">
        <v>7279</v>
      </c>
      <c r="L11" s="126">
        <f>'Forecast - Current'!H11</f>
        <v>11000</v>
      </c>
      <c r="M11" s="104">
        <v>8931</v>
      </c>
      <c r="N11" s="126">
        <f>'Forecast - Current'!I11</f>
        <v>11000</v>
      </c>
      <c r="O11" s="104">
        <v>15139</v>
      </c>
      <c r="P11" s="126">
        <f>'Forecast - Current'!J11</f>
        <v>11000</v>
      </c>
      <c r="Q11" s="104">
        <v>20734</v>
      </c>
      <c r="R11" s="126">
        <f>'Forecast - Current'!K11</f>
        <v>11000</v>
      </c>
      <c r="S11" s="104"/>
      <c r="T11" s="126">
        <f>'Forecast - Current'!L11</f>
        <v>11000</v>
      </c>
      <c r="U11" s="104"/>
      <c r="V11" s="126">
        <f>'Forecast - Current'!M11</f>
        <v>11000</v>
      </c>
      <c r="W11" s="104"/>
      <c r="X11" s="126">
        <f>'Forecast - Current'!N11</f>
        <v>11000</v>
      </c>
      <c r="Y11" s="104"/>
      <c r="Z11" s="126">
        <f>'Forecast - Current'!O11</f>
        <v>9000</v>
      </c>
      <c r="AA11" s="105"/>
      <c r="AB11" s="120">
        <f t="shared" si="0"/>
        <v>91585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21522</v>
      </c>
      <c r="F13" s="126">
        <f>'Forecast - Current'!E13</f>
        <v>0</v>
      </c>
      <c r="G13" s="104">
        <v>5074</v>
      </c>
      <c r="H13" s="126">
        <f>'Forecast - Current'!F13</f>
        <v>0</v>
      </c>
      <c r="I13" s="104">
        <v>20880</v>
      </c>
      <c r="J13" s="126">
        <f>'Forecast - Current'!G13</f>
        <v>0</v>
      </c>
      <c r="K13" s="104">
        <v>37019</v>
      </c>
      <c r="L13" s="126">
        <f>'Forecast - Current'!H13</f>
        <v>0</v>
      </c>
      <c r="M13" s="104">
        <v>28573</v>
      </c>
      <c r="N13" s="126">
        <f>'Forecast - Current'!I13</f>
        <v>0</v>
      </c>
      <c r="O13" s="104">
        <v>34791</v>
      </c>
      <c r="P13" s="126">
        <f>'Forecast - Current'!J13</f>
        <v>0</v>
      </c>
      <c r="Q13" s="104">
        <v>8910</v>
      </c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156769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39050</v>
      </c>
      <c r="D15" s="123">
        <f>'Forecast - Current'!D15</f>
        <v>3254</v>
      </c>
      <c r="E15" s="104">
        <f>26628+2</f>
        <v>26630</v>
      </c>
      <c r="F15" s="126">
        <f>'Forecast - Current'!E15</f>
        <v>3254</v>
      </c>
      <c r="G15" s="104">
        <f>43222+2</f>
        <v>43224</v>
      </c>
      <c r="H15" s="126">
        <f>'Forecast - Current'!F15</f>
        <v>3254</v>
      </c>
      <c r="I15" s="104">
        <v>37273</v>
      </c>
      <c r="J15" s="126">
        <f>'Forecast - Current'!G15</f>
        <v>3254</v>
      </c>
      <c r="K15" s="104">
        <f>85940+2</f>
        <v>85942</v>
      </c>
      <c r="L15" s="126">
        <f>'Forecast - Current'!H15</f>
        <v>3254</v>
      </c>
      <c r="M15" s="104">
        <f>5837+1</f>
        <v>5838</v>
      </c>
      <c r="N15" s="126">
        <f>'Forecast - Current'!I15</f>
        <v>3254</v>
      </c>
      <c r="O15" s="104">
        <v>46778</v>
      </c>
      <c r="P15" s="126">
        <f>'Forecast - Current'!J15</f>
        <v>3254</v>
      </c>
      <c r="Q15" s="104">
        <f xml:space="preserve"> 60680+2</f>
        <v>60682</v>
      </c>
      <c r="R15" s="126">
        <f>'Forecast - Current'!K15</f>
        <v>3254</v>
      </c>
      <c r="S15" s="104"/>
      <c r="T15" s="126">
        <f>'Forecast - Current'!L15</f>
        <v>3254</v>
      </c>
      <c r="U15" s="104"/>
      <c r="V15" s="126">
        <f>'Forecast - Current'!M15</f>
        <v>3254</v>
      </c>
      <c r="W15" s="104"/>
      <c r="X15" s="126">
        <f>'Forecast - Current'!N15</f>
        <v>3254</v>
      </c>
      <c r="Y15" s="104"/>
      <c r="Z15" s="126">
        <f>'Forecast - Current'!O15</f>
        <v>3256</v>
      </c>
      <c r="AA15" s="105"/>
      <c r="AB15" s="120">
        <f t="shared" si="0"/>
        <v>306367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0</v>
      </c>
      <c r="D20" s="124">
        <f>'Forecast - Current'!D20</f>
        <v>0</v>
      </c>
      <c r="E20" s="106"/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9415721</v>
      </c>
      <c r="D21" s="114">
        <f>'Forecast - Current'!D21</f>
        <v>779421</v>
      </c>
      <c r="E21" s="115">
        <f>SUM(E7:E20)</f>
        <v>774283</v>
      </c>
      <c r="F21" s="116">
        <f>'Forecast - Current'!E21</f>
        <v>786355</v>
      </c>
      <c r="G21" s="115">
        <f>SUM(G7:G20)</f>
        <v>881968</v>
      </c>
      <c r="H21" s="116">
        <f>'Forecast - Current'!F21</f>
        <v>898630</v>
      </c>
      <c r="I21" s="115">
        <f>SUM(I7:I20)</f>
        <v>957900</v>
      </c>
      <c r="J21" s="116">
        <f>'Forecast - Current'!G21</f>
        <v>719715</v>
      </c>
      <c r="K21" s="115">
        <f>SUM(K7:K20)</f>
        <v>848300</v>
      </c>
      <c r="L21" s="116">
        <f>'Forecast - Current'!H21</f>
        <v>788172</v>
      </c>
      <c r="M21" s="115">
        <f>SUM(M7:M20)</f>
        <v>819912</v>
      </c>
      <c r="N21" s="116">
        <f>'Forecast - Current'!I21</f>
        <v>762715</v>
      </c>
      <c r="O21" s="115">
        <f>SUM(O7:O20)</f>
        <v>842634</v>
      </c>
      <c r="P21" s="116">
        <f>'Forecast - Current'!J21</f>
        <v>719715</v>
      </c>
      <c r="Q21" s="115">
        <f>SUM(Q7:Q20)</f>
        <v>796595</v>
      </c>
      <c r="R21" s="116">
        <f>'Forecast - Current'!K21</f>
        <v>788277</v>
      </c>
      <c r="S21" s="115">
        <f>SUM(S7:S20)</f>
        <v>0</v>
      </c>
      <c r="T21" s="116">
        <f>'Forecast - Current'!L21</f>
        <v>793245</v>
      </c>
      <c r="U21" s="115">
        <f>SUM(U7:U20)</f>
        <v>0</v>
      </c>
      <c r="V21" s="116">
        <f>'Forecast - Current'!M21</f>
        <v>852787</v>
      </c>
      <c r="W21" s="115">
        <f>SUM(W7:W20)</f>
        <v>0</v>
      </c>
      <c r="X21" s="116">
        <f>'Forecast - Current'!N21</f>
        <v>807759</v>
      </c>
      <c r="Y21" s="115">
        <f>SUM(Y7:Y20)</f>
        <v>0</v>
      </c>
      <c r="Z21" s="116">
        <f>'Forecast - Current'!O21</f>
        <v>718930</v>
      </c>
      <c r="AA21" s="117">
        <f>SUM(AA7:AA20)</f>
        <v>0</v>
      </c>
      <c r="AB21" s="118">
        <f t="shared" si="0"/>
        <v>5921592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90"/>
      <c r="D24" s="192"/>
      <c r="E24" s="188"/>
      <c r="F24" s="194"/>
      <c r="G24" s="188"/>
      <c r="H24" s="196"/>
      <c r="I24" s="188"/>
      <c r="J24" s="194"/>
      <c r="K24" s="188"/>
      <c r="L24" s="194"/>
      <c r="M24" s="188"/>
      <c r="N24" s="196"/>
      <c r="O24" s="188"/>
      <c r="P24" s="196"/>
      <c r="Q24" s="188"/>
      <c r="R24" s="194"/>
      <c r="S24" s="188"/>
      <c r="T24" s="194"/>
      <c r="U24" s="188"/>
      <c r="V24" s="194"/>
      <c r="W24" s="188"/>
      <c r="X24" s="194"/>
      <c r="Y24" s="188"/>
      <c r="Z24" s="194"/>
      <c r="AA24" s="206"/>
      <c r="AB24" s="200"/>
      <c r="AC24" s="1"/>
    </row>
    <row r="25" spans="1:29" ht="9.9499999999999993" customHeight="1" thickBot="1" x14ac:dyDescent="0.25">
      <c r="A25" s="1"/>
      <c r="B25" s="35"/>
      <c r="C25" s="191"/>
      <c r="D25" s="193"/>
      <c r="E25" s="189"/>
      <c r="F25" s="195"/>
      <c r="G25" s="189"/>
      <c r="H25" s="197"/>
      <c r="I25" s="189"/>
      <c r="J25" s="195"/>
      <c r="K25" s="189"/>
      <c r="L25" s="195"/>
      <c r="M25" s="189"/>
      <c r="N25" s="197"/>
      <c r="O25" s="189"/>
      <c r="P25" s="197"/>
      <c r="Q25" s="189"/>
      <c r="R25" s="195"/>
      <c r="S25" s="189"/>
      <c r="T25" s="195"/>
      <c r="U25" s="189"/>
      <c r="V25" s="195"/>
      <c r="W25" s="189"/>
      <c r="X25" s="195"/>
      <c r="Y25" s="189"/>
      <c r="Z25" s="195"/>
      <c r="AA25" s="207"/>
      <c r="AB25" s="201"/>
      <c r="AC25" s="1"/>
    </row>
    <row r="26" spans="1:29" x14ac:dyDescent="0.2">
      <c r="A26" s="1"/>
      <c r="B26" s="36" t="s">
        <v>22</v>
      </c>
      <c r="C26" s="68">
        <f>'Forecast - Current'!C26</f>
        <v>7558030</v>
      </c>
      <c r="D26" s="47">
        <f>'Forecast - Current'!D26</f>
        <v>629835</v>
      </c>
      <c r="E26" s="102">
        <v>578192</v>
      </c>
      <c r="F26" s="125">
        <f>'Forecast - Current'!E26</f>
        <v>629835</v>
      </c>
      <c r="G26" s="102">
        <v>599329</v>
      </c>
      <c r="H26" s="125">
        <f>'Forecast - Current'!F26</f>
        <v>629835</v>
      </c>
      <c r="I26" s="102">
        <v>695079</v>
      </c>
      <c r="J26" s="125">
        <f>'Forecast - Current'!G26</f>
        <v>629835</v>
      </c>
      <c r="K26" s="102">
        <v>687091</v>
      </c>
      <c r="L26" s="125">
        <f>'Forecast - Current'!H26</f>
        <v>629835</v>
      </c>
      <c r="M26" s="102">
        <v>620654</v>
      </c>
      <c r="N26" s="125">
        <f>'Forecast - Current'!I26</f>
        <v>629835</v>
      </c>
      <c r="O26" s="102">
        <v>626458</v>
      </c>
      <c r="P26" s="125">
        <f>'Forecast - Current'!J26</f>
        <v>629835</v>
      </c>
      <c r="Q26" s="102">
        <v>629748</v>
      </c>
      <c r="R26" s="125">
        <f>'Forecast - Current'!K26</f>
        <v>629835</v>
      </c>
      <c r="S26" s="102"/>
      <c r="T26" s="125">
        <f>'Forecast - Current'!L26</f>
        <v>629835</v>
      </c>
      <c r="U26" s="102"/>
      <c r="V26" s="125">
        <f>'Forecast - Current'!M26</f>
        <v>629835</v>
      </c>
      <c r="W26" s="102"/>
      <c r="X26" s="125">
        <f>'Forecast - Current'!N26</f>
        <v>629835</v>
      </c>
      <c r="Y26" s="102"/>
      <c r="Z26" s="125">
        <f>'Forecast - Current'!O26</f>
        <v>629845</v>
      </c>
      <c r="AA26" s="103"/>
      <c r="AB26" s="65">
        <f>E26+G26+I26+K26+M26+O26+Q26+S26+U26+W26+Y26+AA26</f>
        <v>4436551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11040</v>
      </c>
      <c r="F28" s="125">
        <f>'Forecast - Current'!E28</f>
        <v>0</v>
      </c>
      <c r="G28" s="104">
        <v>2030</v>
      </c>
      <c r="H28" s="125">
        <f>'Forecast - Current'!F28</f>
        <v>0</v>
      </c>
      <c r="I28" s="104">
        <v>1779</v>
      </c>
      <c r="J28" s="125">
        <f>'Forecast - Current'!G28</f>
        <v>0</v>
      </c>
      <c r="K28" s="104">
        <v>66499</v>
      </c>
      <c r="L28" s="125">
        <f>'Forecast - Current'!H28</f>
        <v>0</v>
      </c>
      <c r="M28" s="104">
        <v>16765</v>
      </c>
      <c r="N28" s="125">
        <f>'Forecast - Current'!I28</f>
        <v>0</v>
      </c>
      <c r="O28" s="104">
        <v>38112</v>
      </c>
      <c r="P28" s="125">
        <f>'Forecast - Current'!J28</f>
        <v>0</v>
      </c>
      <c r="Q28" s="104">
        <v>12526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148751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1994554</v>
      </c>
      <c r="D30" s="47">
        <f>'Forecast - Current'!D30</f>
        <v>159882</v>
      </c>
      <c r="E30" s="104">
        <f>107126+1</f>
        <v>107127</v>
      </c>
      <c r="F30" s="125">
        <f>'Forecast - Current'!E30</f>
        <v>213978</v>
      </c>
      <c r="G30" s="104">
        <f>210721+1</f>
        <v>210722</v>
      </c>
      <c r="H30" s="125">
        <f>'Forecast - Current'!F30</f>
        <v>148978</v>
      </c>
      <c r="I30" s="104">
        <v>160703</v>
      </c>
      <c r="J30" s="125">
        <f>'Forecast - Current'!G30</f>
        <v>148978</v>
      </c>
      <c r="K30" s="104">
        <v>170895</v>
      </c>
      <c r="L30" s="125">
        <f>'Forecast - Current'!H30</f>
        <v>243978</v>
      </c>
      <c r="M30" s="104">
        <f>170413+1</f>
        <v>170414</v>
      </c>
      <c r="N30" s="125">
        <f>'Forecast - Current'!I30</f>
        <v>148978</v>
      </c>
      <c r="O30" s="104">
        <v>209927</v>
      </c>
      <c r="P30" s="125">
        <f>'Forecast - Current'!J30</f>
        <v>159882</v>
      </c>
      <c r="Q30" s="104">
        <v>406258</v>
      </c>
      <c r="R30" s="125">
        <f>'Forecast - Current'!K30</f>
        <v>148978</v>
      </c>
      <c r="S30" s="104"/>
      <c r="T30" s="125">
        <f>'Forecast - Current'!L30</f>
        <v>148978</v>
      </c>
      <c r="U30" s="104"/>
      <c r="V30" s="125">
        <f>'Forecast - Current'!M30</f>
        <v>163978</v>
      </c>
      <c r="W30" s="104"/>
      <c r="X30" s="125">
        <f>'Forecast - Current'!N30</f>
        <v>158978</v>
      </c>
      <c r="Y30" s="104"/>
      <c r="Z30" s="125">
        <f>'Forecast - Current'!O30</f>
        <v>148988</v>
      </c>
      <c r="AA30" s="105"/>
      <c r="AB30" s="65">
        <f t="shared" si="1"/>
        <v>1436046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79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12467</v>
      </c>
      <c r="D35" s="47">
        <f>'Forecast - Current'!D35</f>
        <v>12467</v>
      </c>
      <c r="E35" s="104">
        <v>12467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12467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130594</v>
      </c>
      <c r="D36" s="49">
        <f>'Forecast - Current'!D36</f>
        <v>130594</v>
      </c>
      <c r="E36" s="106">
        <v>130594</v>
      </c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130594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9695645</v>
      </c>
      <c r="D37" s="131">
        <f>'Forecast - Current'!D37</f>
        <v>932778</v>
      </c>
      <c r="E37" s="115">
        <f>SUM(E26:E36)</f>
        <v>839420</v>
      </c>
      <c r="F37" s="116">
        <f>'Forecast - Current'!E37</f>
        <v>843813</v>
      </c>
      <c r="G37" s="115">
        <f>SUM(G26:G36)</f>
        <v>812081</v>
      </c>
      <c r="H37" s="116">
        <f>'Forecast - Current'!F37</f>
        <v>778813</v>
      </c>
      <c r="I37" s="115">
        <f>SUM(I26:I36)</f>
        <v>857561</v>
      </c>
      <c r="J37" s="116">
        <f>'Forecast - Current'!G37</f>
        <v>778813</v>
      </c>
      <c r="K37" s="115">
        <f>SUM(K26:K36)</f>
        <v>924485</v>
      </c>
      <c r="L37" s="116">
        <f>'Forecast - Current'!H37</f>
        <v>873813</v>
      </c>
      <c r="M37" s="115">
        <f>SUM(M26:M36)</f>
        <v>807833</v>
      </c>
      <c r="N37" s="116">
        <f>'Forecast - Current'!I37</f>
        <v>778813</v>
      </c>
      <c r="O37" s="115">
        <f>SUM(O26:O36)</f>
        <v>874497</v>
      </c>
      <c r="P37" s="116">
        <f>'Forecast - Current'!J37</f>
        <v>789717</v>
      </c>
      <c r="Q37" s="115">
        <f>SUM(Q26:Q36)</f>
        <v>1048532</v>
      </c>
      <c r="R37" s="116">
        <f>'Forecast - Current'!K37</f>
        <v>778813</v>
      </c>
      <c r="S37" s="115">
        <f>SUM(S26:S36)</f>
        <v>0</v>
      </c>
      <c r="T37" s="116">
        <f>'Forecast - Current'!L37</f>
        <v>778813</v>
      </c>
      <c r="U37" s="115">
        <f>SUM(U26:U36)</f>
        <v>0</v>
      </c>
      <c r="V37" s="116">
        <f>'Forecast - Current'!M37</f>
        <v>793813</v>
      </c>
      <c r="W37" s="115">
        <f>SUM(W26:W36)</f>
        <v>0</v>
      </c>
      <c r="X37" s="116">
        <f>'Forecast - Current'!N37</f>
        <v>788813</v>
      </c>
      <c r="Y37" s="115">
        <f>SUM(Y26:Y36)</f>
        <v>0</v>
      </c>
      <c r="Z37" s="116">
        <f>'Forecast - Current'!O37</f>
        <v>778833</v>
      </c>
      <c r="AA37" s="117">
        <f>SUM(AA26:AA36)</f>
        <v>0</v>
      </c>
      <c r="AB37" s="132">
        <f t="shared" si="1"/>
        <v>6164409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-279924</v>
      </c>
      <c r="D39" s="52">
        <f t="shared" ref="D39:AB39" si="2">D21-D37</f>
        <v>-153357</v>
      </c>
      <c r="E39" s="55">
        <f t="shared" si="2"/>
        <v>-65137</v>
      </c>
      <c r="F39" s="52">
        <f t="shared" si="2"/>
        <v>-57458</v>
      </c>
      <c r="G39" s="55">
        <f t="shared" si="2"/>
        <v>69887</v>
      </c>
      <c r="H39" s="52">
        <f t="shared" si="2"/>
        <v>119817</v>
      </c>
      <c r="I39" s="55">
        <f t="shared" si="2"/>
        <v>100339</v>
      </c>
      <c r="J39" s="52">
        <f t="shared" si="2"/>
        <v>-59098</v>
      </c>
      <c r="K39" s="55">
        <f t="shared" si="2"/>
        <v>-76185</v>
      </c>
      <c r="L39" s="52">
        <f t="shared" si="2"/>
        <v>-85641</v>
      </c>
      <c r="M39" s="55">
        <f t="shared" si="2"/>
        <v>12079</v>
      </c>
      <c r="N39" s="52">
        <f t="shared" si="2"/>
        <v>-16098</v>
      </c>
      <c r="O39" s="55">
        <f t="shared" si="2"/>
        <v>-31863</v>
      </c>
      <c r="P39" s="52">
        <f t="shared" si="2"/>
        <v>-70002</v>
      </c>
      <c r="Q39" s="55">
        <f t="shared" si="2"/>
        <v>-251937</v>
      </c>
      <c r="R39" s="52">
        <f t="shared" si="2"/>
        <v>9464</v>
      </c>
      <c r="S39" s="55">
        <f t="shared" si="2"/>
        <v>0</v>
      </c>
      <c r="T39" s="52">
        <f t="shared" si="2"/>
        <v>14432</v>
      </c>
      <c r="U39" s="55">
        <f t="shared" si="2"/>
        <v>0</v>
      </c>
      <c r="V39" s="52">
        <f t="shared" si="2"/>
        <v>58974</v>
      </c>
      <c r="W39" s="55">
        <f t="shared" si="2"/>
        <v>0</v>
      </c>
      <c r="X39" s="52">
        <f t="shared" si="2"/>
        <v>18946</v>
      </c>
      <c r="Y39" s="55">
        <f t="shared" si="2"/>
        <v>0</v>
      </c>
      <c r="Z39" s="52">
        <f t="shared" si="2"/>
        <v>-59903</v>
      </c>
      <c r="AA39" s="55">
        <f t="shared" si="2"/>
        <v>0</v>
      </c>
      <c r="AB39" s="55">
        <f t="shared" si="2"/>
        <v>-242817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783792</v>
      </c>
      <c r="D41" s="53">
        <f>C41</f>
        <v>783792</v>
      </c>
      <c r="E41" s="57">
        <f>C41</f>
        <v>783792</v>
      </c>
      <c r="F41" s="54">
        <f>D43</f>
        <v>630435</v>
      </c>
      <c r="G41" s="57">
        <f>E43</f>
        <v>718655</v>
      </c>
      <c r="H41" s="54">
        <f>F43</f>
        <v>572977</v>
      </c>
      <c r="I41" s="57">
        <f t="shared" ref="I41:AA41" si="3">G43</f>
        <v>788542</v>
      </c>
      <c r="J41" s="54">
        <f t="shared" si="3"/>
        <v>692794</v>
      </c>
      <c r="K41" s="57">
        <f t="shared" si="3"/>
        <v>888881</v>
      </c>
      <c r="L41" s="54">
        <f t="shared" si="3"/>
        <v>633696</v>
      </c>
      <c r="M41" s="57">
        <f t="shared" si="3"/>
        <v>812696</v>
      </c>
      <c r="N41" s="54">
        <f t="shared" si="3"/>
        <v>548055</v>
      </c>
      <c r="O41" s="57">
        <f t="shared" si="3"/>
        <v>824775</v>
      </c>
      <c r="P41" s="54">
        <f t="shared" si="3"/>
        <v>531957</v>
      </c>
      <c r="Q41" s="57">
        <f t="shared" si="3"/>
        <v>792912</v>
      </c>
      <c r="R41" s="54">
        <f t="shared" si="3"/>
        <v>461955</v>
      </c>
      <c r="S41" s="57">
        <f t="shared" si="3"/>
        <v>540975</v>
      </c>
      <c r="T41" s="54">
        <f t="shared" si="3"/>
        <v>471419</v>
      </c>
      <c r="U41" s="57">
        <f t="shared" si="3"/>
        <v>540975</v>
      </c>
      <c r="V41" s="54">
        <f t="shared" si="3"/>
        <v>485851</v>
      </c>
      <c r="W41" s="57">
        <f t="shared" si="3"/>
        <v>540975</v>
      </c>
      <c r="X41" s="54">
        <f t="shared" si="3"/>
        <v>544825</v>
      </c>
      <c r="Y41" s="57">
        <f t="shared" si="3"/>
        <v>540975</v>
      </c>
      <c r="Z41" s="54">
        <f t="shared" si="3"/>
        <v>563771</v>
      </c>
      <c r="AA41" s="57">
        <f t="shared" si="3"/>
        <v>540975</v>
      </c>
      <c r="AB41" s="55">
        <f>C41</f>
        <v>783792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503868</v>
      </c>
      <c r="D43" s="53">
        <f>D41+D39</f>
        <v>630435</v>
      </c>
      <c r="E43" s="56">
        <f>E41+E39</f>
        <v>718655</v>
      </c>
      <c r="F43" s="53">
        <f>F41+F39</f>
        <v>572977</v>
      </c>
      <c r="G43" s="56">
        <f t="shared" ref="G43:AB43" si="4">G41+G39</f>
        <v>788542</v>
      </c>
      <c r="H43" s="53">
        <f t="shared" si="4"/>
        <v>692794</v>
      </c>
      <c r="I43" s="56">
        <f t="shared" si="4"/>
        <v>888881</v>
      </c>
      <c r="J43" s="53">
        <f t="shared" si="4"/>
        <v>633696</v>
      </c>
      <c r="K43" s="56">
        <f t="shared" si="4"/>
        <v>812696</v>
      </c>
      <c r="L43" s="53">
        <f t="shared" si="4"/>
        <v>548055</v>
      </c>
      <c r="M43" s="56">
        <f t="shared" si="4"/>
        <v>824775</v>
      </c>
      <c r="N43" s="53">
        <f t="shared" si="4"/>
        <v>531957</v>
      </c>
      <c r="O43" s="56">
        <f t="shared" si="4"/>
        <v>792912</v>
      </c>
      <c r="P43" s="53">
        <f t="shared" si="4"/>
        <v>461955</v>
      </c>
      <c r="Q43" s="56">
        <f t="shared" si="4"/>
        <v>540975</v>
      </c>
      <c r="R43" s="53">
        <f t="shared" si="4"/>
        <v>471419</v>
      </c>
      <c r="S43" s="56">
        <f t="shared" si="4"/>
        <v>540975</v>
      </c>
      <c r="T43" s="53">
        <f t="shared" si="4"/>
        <v>485851</v>
      </c>
      <c r="U43" s="56">
        <f t="shared" si="4"/>
        <v>540975</v>
      </c>
      <c r="V43" s="53">
        <f t="shared" si="4"/>
        <v>544825</v>
      </c>
      <c r="W43" s="56">
        <f t="shared" si="4"/>
        <v>540975</v>
      </c>
      <c r="X43" s="53">
        <f t="shared" si="4"/>
        <v>563771</v>
      </c>
      <c r="Y43" s="56">
        <f t="shared" si="4"/>
        <v>540975</v>
      </c>
      <c r="Z43" s="53">
        <f t="shared" si="4"/>
        <v>503868</v>
      </c>
      <c r="AA43" s="56">
        <f t="shared" si="4"/>
        <v>540975</v>
      </c>
      <c r="AB43" s="56">
        <f t="shared" si="4"/>
        <v>540975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I5" sqref="I5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75</v>
      </c>
      <c r="G1" s="221"/>
      <c r="H1" s="144"/>
    </row>
    <row r="2" spans="1:9" ht="20.25" thickBot="1" x14ac:dyDescent="0.3">
      <c r="A2" s="1"/>
      <c r="B2" s="222" t="s">
        <v>45</v>
      </c>
      <c r="C2" s="223"/>
      <c r="D2" s="1"/>
      <c r="F2" s="213"/>
      <c r="G2" s="213"/>
      <c r="H2" s="145" t="s">
        <v>14</v>
      </c>
      <c r="I2" s="146" t="s">
        <v>62</v>
      </c>
    </row>
    <row r="3" spans="1:9" ht="20.25" thickBot="1" x14ac:dyDescent="0.3">
      <c r="A3" s="1"/>
      <c r="B3" s="224" t="s">
        <v>46</v>
      </c>
      <c r="C3" s="225"/>
      <c r="D3" s="1"/>
      <c r="F3" s="214" t="s">
        <v>63</v>
      </c>
      <c r="G3" s="214"/>
      <c r="H3" s="147">
        <v>6571782</v>
      </c>
      <c r="I3" s="148" t="s">
        <v>91</v>
      </c>
    </row>
    <row r="4" spans="1:9" x14ac:dyDescent="0.2">
      <c r="A4" s="1"/>
      <c r="B4" s="38">
        <v>1</v>
      </c>
      <c r="C4" s="41"/>
      <c r="D4" s="1"/>
      <c r="F4" s="215" t="s">
        <v>80</v>
      </c>
      <c r="G4" s="216"/>
      <c r="H4" s="147">
        <v>1894958</v>
      </c>
      <c r="I4" s="156" t="s">
        <v>93</v>
      </c>
    </row>
    <row r="5" spans="1:9" x14ac:dyDescent="0.2">
      <c r="A5" s="1"/>
      <c r="B5" s="39">
        <f t="shared" ref="B5:B28" si="0">B4+1</f>
        <v>2</v>
      </c>
      <c r="C5" s="40"/>
      <c r="D5" s="1"/>
      <c r="F5" s="214" t="s">
        <v>64</v>
      </c>
      <c r="G5" s="214"/>
      <c r="H5" s="147">
        <v>179270</v>
      </c>
      <c r="I5" s="148" t="s">
        <v>101</v>
      </c>
    </row>
    <row r="6" spans="1:9" x14ac:dyDescent="0.2">
      <c r="A6" s="1"/>
      <c r="B6" s="39">
        <f t="shared" si="0"/>
        <v>3</v>
      </c>
      <c r="C6" s="40"/>
      <c r="D6" s="1"/>
      <c r="F6" s="215" t="s">
        <v>65</v>
      </c>
      <c r="G6" s="216"/>
      <c r="H6" s="147">
        <v>0</v>
      </c>
      <c r="I6" s="148"/>
    </row>
    <row r="7" spans="1:9" x14ac:dyDescent="0.2">
      <c r="A7" s="1"/>
      <c r="B7" s="39">
        <f t="shared" si="0"/>
        <v>4</v>
      </c>
      <c r="C7" s="40"/>
      <c r="D7" s="1"/>
      <c r="F7" s="215" t="s">
        <v>66</v>
      </c>
      <c r="G7" s="216"/>
      <c r="H7" s="147">
        <v>78000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4" t="s">
        <v>67</v>
      </c>
      <c r="G8" s="214"/>
      <c r="H8" s="147">
        <v>25526</v>
      </c>
      <c r="I8" s="148" t="s">
        <v>94</v>
      </c>
    </row>
    <row r="9" spans="1:9" x14ac:dyDescent="0.2">
      <c r="A9" s="1"/>
      <c r="B9" s="39">
        <f t="shared" si="0"/>
        <v>6</v>
      </c>
      <c r="C9" s="40"/>
      <c r="D9" s="1"/>
      <c r="F9" s="214" t="s">
        <v>68</v>
      </c>
      <c r="G9" s="214"/>
      <c r="H9" s="147">
        <v>30117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69</v>
      </c>
      <c r="G10" s="214"/>
      <c r="H10" s="147">
        <v>34000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5" t="s">
        <v>85</v>
      </c>
      <c r="G11" s="216"/>
      <c r="H11" s="147">
        <v>216174</v>
      </c>
      <c r="I11" s="156" t="s">
        <v>95</v>
      </c>
    </row>
    <row r="12" spans="1:9" x14ac:dyDescent="0.2">
      <c r="A12" s="1"/>
      <c r="B12" s="39">
        <f t="shared" si="0"/>
        <v>9</v>
      </c>
      <c r="C12" s="40"/>
      <c r="D12" s="1"/>
      <c r="F12" s="215" t="s">
        <v>81</v>
      </c>
      <c r="G12" s="216"/>
      <c r="H12" s="147">
        <v>52440</v>
      </c>
      <c r="I12" s="156" t="s">
        <v>97</v>
      </c>
    </row>
    <row r="13" spans="1:9" x14ac:dyDescent="0.2">
      <c r="A13" s="1"/>
      <c r="B13" s="39">
        <f t="shared" si="0"/>
        <v>10</v>
      </c>
      <c r="C13" s="40"/>
      <c r="D13" s="1"/>
      <c r="F13" s="215" t="s">
        <v>86</v>
      </c>
      <c r="G13" s="216"/>
      <c r="H13" s="147">
        <v>31590</v>
      </c>
      <c r="I13" s="160" t="s">
        <v>96</v>
      </c>
    </row>
    <row r="14" spans="1:9" x14ac:dyDescent="0.2">
      <c r="A14" s="1"/>
      <c r="B14" s="39">
        <f t="shared" si="0"/>
        <v>11</v>
      </c>
      <c r="C14" s="40"/>
      <c r="D14" s="1"/>
      <c r="F14" s="214" t="s">
        <v>87</v>
      </c>
      <c r="G14" s="214"/>
      <c r="H14" s="147">
        <v>3814</v>
      </c>
      <c r="I14" s="148" t="s">
        <v>4</v>
      </c>
    </row>
    <row r="15" spans="1:9" x14ac:dyDescent="0.2">
      <c r="A15" s="1"/>
      <c r="B15" s="39">
        <f t="shared" si="0"/>
        <v>12</v>
      </c>
      <c r="C15" s="40"/>
      <c r="D15" s="1"/>
      <c r="F15" s="220" t="s">
        <v>14</v>
      </c>
      <c r="G15" s="220"/>
      <c r="H15" s="149">
        <f>SUM(H3:H14)</f>
        <v>9117671</v>
      </c>
    </row>
    <row r="16" spans="1:9" x14ac:dyDescent="0.2">
      <c r="A16" s="1"/>
      <c r="B16" s="39">
        <f t="shared" si="0"/>
        <v>13</v>
      </c>
      <c r="C16" s="40"/>
      <c r="D16" s="1"/>
      <c r="H16" s="150"/>
    </row>
    <row r="17" spans="1:9" x14ac:dyDescent="0.2">
      <c r="A17" s="1"/>
      <c r="B17" s="39">
        <f t="shared" si="0"/>
        <v>14</v>
      </c>
      <c r="C17" s="40"/>
      <c r="D17" s="1"/>
      <c r="F17" s="212" t="s">
        <v>76</v>
      </c>
      <c r="G17" s="212"/>
      <c r="H17" s="212"/>
    </row>
    <row r="18" spans="1:9" x14ac:dyDescent="0.2">
      <c r="A18" s="1"/>
      <c r="B18" s="39">
        <f t="shared" si="0"/>
        <v>15</v>
      </c>
      <c r="C18" s="40"/>
      <c r="D18" s="1"/>
      <c r="F18" s="213"/>
      <c r="G18" s="213"/>
      <c r="H18" s="145" t="s">
        <v>14</v>
      </c>
      <c r="I18" s="146" t="s">
        <v>62</v>
      </c>
    </row>
    <row r="19" spans="1:9" x14ac:dyDescent="0.2">
      <c r="A19" s="1"/>
      <c r="B19" s="39">
        <f t="shared" si="0"/>
        <v>16</v>
      </c>
      <c r="C19" s="40"/>
      <c r="D19" s="1"/>
      <c r="F19" s="219" t="s">
        <v>70</v>
      </c>
      <c r="G19" s="219"/>
      <c r="H19" s="151">
        <v>129000</v>
      </c>
      <c r="I19" s="152" t="s">
        <v>89</v>
      </c>
    </row>
    <row r="20" spans="1:9" x14ac:dyDescent="0.2">
      <c r="A20" s="1"/>
      <c r="B20" s="39">
        <f t="shared" si="0"/>
        <v>17</v>
      </c>
      <c r="C20" s="40"/>
      <c r="D20" s="1"/>
      <c r="F20" s="220" t="s">
        <v>14</v>
      </c>
      <c r="G20" s="220"/>
      <c r="H20" s="149">
        <f>SUM(H19:H19)</f>
        <v>129000</v>
      </c>
    </row>
    <row r="21" spans="1:9" x14ac:dyDescent="0.2">
      <c r="A21" s="1"/>
      <c r="B21" s="39">
        <f t="shared" si="0"/>
        <v>18</v>
      </c>
      <c r="C21" s="40"/>
      <c r="D21" s="1"/>
      <c r="F21" s="158"/>
      <c r="G21" s="158"/>
      <c r="H21" s="159"/>
    </row>
    <row r="22" spans="1:9" x14ac:dyDescent="0.2">
      <c r="A22" s="1"/>
      <c r="B22" s="39">
        <f t="shared" si="0"/>
        <v>19</v>
      </c>
      <c r="C22" s="40"/>
      <c r="D22" s="1"/>
      <c r="F22" s="212" t="s">
        <v>15</v>
      </c>
      <c r="G22" s="212"/>
      <c r="H22" s="212"/>
    </row>
    <row r="23" spans="1:9" x14ac:dyDescent="0.2">
      <c r="A23" s="1"/>
      <c r="B23" s="39">
        <f t="shared" si="0"/>
        <v>20</v>
      </c>
      <c r="C23" s="40"/>
      <c r="D23" s="1"/>
      <c r="F23" s="213"/>
      <c r="G23" s="213"/>
      <c r="H23" s="145" t="s">
        <v>14</v>
      </c>
      <c r="I23" s="146" t="s">
        <v>62</v>
      </c>
    </row>
    <row r="24" spans="1:9" x14ac:dyDescent="0.2">
      <c r="A24" s="1"/>
      <c r="B24" s="39">
        <f t="shared" si="0"/>
        <v>21</v>
      </c>
      <c r="C24" s="40"/>
      <c r="D24" s="1"/>
      <c r="F24" s="219" t="s">
        <v>15</v>
      </c>
      <c r="G24" s="219"/>
      <c r="H24" s="151">
        <v>130000</v>
      </c>
      <c r="I24" s="152" t="s">
        <v>88</v>
      </c>
    </row>
    <row r="25" spans="1:9" x14ac:dyDescent="0.2">
      <c r="A25" s="1"/>
      <c r="B25" s="39">
        <f t="shared" si="0"/>
        <v>22</v>
      </c>
      <c r="C25" s="40"/>
      <c r="D25" s="1"/>
      <c r="F25" s="220" t="s">
        <v>14</v>
      </c>
      <c r="G25" s="220"/>
      <c r="H25" s="149">
        <f>SUM(H24:H24)</f>
        <v>130000</v>
      </c>
    </row>
    <row r="26" spans="1:9" x14ac:dyDescent="0.2">
      <c r="A26" s="1"/>
      <c r="B26" s="39">
        <f t="shared" si="0"/>
        <v>23</v>
      </c>
      <c r="C26" s="40"/>
      <c r="D26" s="1"/>
      <c r="F26" s="154"/>
      <c r="G26" s="154"/>
      <c r="H26" s="155"/>
    </row>
    <row r="27" spans="1:9" x14ac:dyDescent="0.2">
      <c r="A27" s="1"/>
      <c r="B27" s="39">
        <f t="shared" si="0"/>
        <v>24</v>
      </c>
      <c r="C27" s="40"/>
      <c r="D27" s="1"/>
      <c r="F27" s="212" t="s">
        <v>77</v>
      </c>
      <c r="G27" s="212"/>
      <c r="H27" s="212"/>
    </row>
    <row r="28" spans="1:9" x14ac:dyDescent="0.2">
      <c r="A28" s="1"/>
      <c r="B28" s="39">
        <f t="shared" si="0"/>
        <v>25</v>
      </c>
      <c r="C28" s="40"/>
      <c r="D28" s="1"/>
      <c r="F28" s="213"/>
      <c r="G28" s="213"/>
      <c r="H28" s="145" t="s">
        <v>14</v>
      </c>
      <c r="I28" s="146" t="s">
        <v>62</v>
      </c>
    </row>
    <row r="29" spans="1:9" x14ac:dyDescent="0.2">
      <c r="A29" s="1"/>
      <c r="B29" s="1"/>
      <c r="C29" s="1"/>
      <c r="D29" s="1"/>
      <c r="F29" s="219" t="s">
        <v>77</v>
      </c>
      <c r="G29" s="219"/>
      <c r="H29" s="151">
        <v>39050</v>
      </c>
      <c r="I29" s="152" t="s">
        <v>90</v>
      </c>
    </row>
    <row r="30" spans="1:9" x14ac:dyDescent="0.2">
      <c r="F30" s="220" t="s">
        <v>14</v>
      </c>
      <c r="G30" s="220"/>
      <c r="H30" s="149">
        <f>SUM(H29:H29)</f>
        <v>39050</v>
      </c>
    </row>
    <row r="31" spans="1:9" x14ac:dyDescent="0.2">
      <c r="F31" s="154"/>
      <c r="G31" s="154"/>
      <c r="H31" s="155"/>
    </row>
    <row r="32" spans="1:9" x14ac:dyDescent="0.2">
      <c r="F32" s="212" t="s">
        <v>82</v>
      </c>
      <c r="G32" s="212"/>
      <c r="H32" s="212"/>
      <c r="I32" s="212"/>
    </row>
    <row r="33" spans="6:9" x14ac:dyDescent="0.2">
      <c r="F33" s="213"/>
      <c r="G33" s="213"/>
      <c r="H33" s="153" t="s">
        <v>14</v>
      </c>
      <c r="I33" s="148" t="s">
        <v>62</v>
      </c>
    </row>
    <row r="34" spans="6:9" x14ac:dyDescent="0.2">
      <c r="F34" s="217" t="s">
        <v>83</v>
      </c>
      <c r="G34" s="218"/>
      <c r="H34" s="147">
        <v>7558030</v>
      </c>
      <c r="I34" s="157" t="s">
        <v>98</v>
      </c>
    </row>
    <row r="35" spans="6:9" x14ac:dyDescent="0.2">
      <c r="F35" s="217"/>
      <c r="G35" s="218"/>
      <c r="H35" s="161"/>
      <c r="I35" s="157"/>
    </row>
    <row r="36" spans="6:9" x14ac:dyDescent="0.2">
      <c r="F36" s="214" t="s">
        <v>71</v>
      </c>
      <c r="G36" s="214"/>
      <c r="H36" s="147">
        <v>35000</v>
      </c>
      <c r="I36" s="148" t="s">
        <v>3</v>
      </c>
    </row>
    <row r="37" spans="6:9" x14ac:dyDescent="0.2">
      <c r="F37" s="215" t="s">
        <v>72</v>
      </c>
      <c r="G37" s="216"/>
      <c r="H37" s="147">
        <v>150000</v>
      </c>
      <c r="I37" s="148" t="s">
        <v>99</v>
      </c>
    </row>
    <row r="38" spans="6:9" x14ac:dyDescent="0.2">
      <c r="F38" s="214" t="s">
        <v>73</v>
      </c>
      <c r="G38" s="214"/>
      <c r="H38" s="147">
        <v>21808</v>
      </c>
      <c r="I38" s="148" t="s">
        <v>102</v>
      </c>
    </row>
    <row r="39" spans="6:9" x14ac:dyDescent="0.2">
      <c r="F39" s="215"/>
      <c r="G39" s="216"/>
      <c r="H39" s="147"/>
      <c r="I39" s="157"/>
    </row>
    <row r="40" spans="6:9" x14ac:dyDescent="0.2">
      <c r="F40" s="214" t="s">
        <v>74</v>
      </c>
      <c r="G40" s="214"/>
      <c r="H40" s="147">
        <v>1787746</v>
      </c>
      <c r="I40" s="148" t="s">
        <v>100</v>
      </c>
    </row>
    <row r="41" spans="6:9" x14ac:dyDescent="0.2">
      <c r="F41" s="220" t="s">
        <v>14</v>
      </c>
      <c r="G41" s="220"/>
      <c r="H41" s="149">
        <f>SUM(H34:H40)</f>
        <v>9552584</v>
      </c>
      <c r="I41" s="3"/>
    </row>
  </sheetData>
  <mergeCells count="39">
    <mergeCell ref="B2:C2"/>
    <mergeCell ref="B3:C3"/>
    <mergeCell ref="F18:G18"/>
    <mergeCell ref="F19:G19"/>
    <mergeCell ref="F20:G20"/>
    <mergeCell ref="F12:G12"/>
    <mergeCell ref="F11:G11"/>
    <mergeCell ref="F4:G4"/>
    <mergeCell ref="F13:G13"/>
    <mergeCell ref="F41:G41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4:G14"/>
    <mergeCell ref="F15:G15"/>
    <mergeCell ref="F17:H17"/>
    <mergeCell ref="F27:H27"/>
    <mergeCell ref="F32:I32"/>
    <mergeCell ref="F28:G28"/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24:G24"/>
    <mergeCell ref="F29:G29"/>
    <mergeCell ref="F30:G30"/>
    <mergeCell ref="F25:G25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2022-11-28T18:11:48Z</cp:lastPrinted>
  <dcterms:created xsi:type="dcterms:W3CDTF">2018-10-18T12:28:19Z</dcterms:created>
  <dcterms:modified xsi:type="dcterms:W3CDTF">2023-04-21T08:55:03Z</dcterms:modified>
</cp:coreProperties>
</file>