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4 Finance\School Budget Monitoring\2018-19\Cashflow\"/>
    </mc:Choice>
  </mc:AlternateContent>
  <workbookProtection workbookPassword="9D59" lockStructure="1"/>
  <bookViews>
    <workbookView xWindow="0" yWindow="0" windowWidth="24000" windowHeight="9585" activeTab="1"/>
  </bookViews>
  <sheets>
    <sheet name="Forecast - Current" sheetId="6" r:id="rId1"/>
    <sheet name="Actuals" sheetId="2" r:id="rId2"/>
    <sheet name="Notes -Sept" sheetId="5" r:id="rId3"/>
    <sheet name="Notes -Jan" sheetId="7" r:id="rId4"/>
    <sheet name="Archive Forecast - Sept" sheetId="1" r:id="rId5"/>
    <sheet name="Archive Forecast - Jan" sheetId="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2" l="1"/>
  <c r="Q26" i="2"/>
  <c r="Q9" i="2"/>
  <c r="Q15" i="2"/>
  <c r="Q13" i="2"/>
  <c r="Q11" i="2"/>
  <c r="Q7" i="2"/>
  <c r="O30" i="2" l="1"/>
  <c r="O26" i="2"/>
  <c r="O28" i="2"/>
  <c r="O15" i="2"/>
  <c r="O9" i="2"/>
  <c r="O13" i="2"/>
  <c r="O11" i="2"/>
  <c r="O7" i="2"/>
  <c r="M30" i="2" l="1"/>
  <c r="M28" i="2"/>
  <c r="M26" i="2"/>
  <c r="M11" i="2"/>
  <c r="M15" i="2"/>
  <c r="M13" i="2"/>
  <c r="M7" i="2"/>
  <c r="N9" i="6" l="1"/>
  <c r="O7" i="6"/>
  <c r="H43" i="7"/>
  <c r="H33" i="7"/>
  <c r="H28" i="7"/>
  <c r="H19" i="7"/>
  <c r="H12" i="7"/>
  <c r="B5" i="7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G30" i="6"/>
  <c r="N30" i="6"/>
  <c r="M30" i="6"/>
  <c r="J30" i="6"/>
  <c r="H30" i="6"/>
  <c r="K30" i="2"/>
  <c r="G36" i="6"/>
  <c r="D41" i="1" l="1"/>
  <c r="C39" i="1"/>
  <c r="C43" i="1" s="1"/>
  <c r="M37" i="1"/>
  <c r="L37" i="1"/>
  <c r="I37" i="1"/>
  <c r="H37" i="1"/>
  <c r="E37" i="1"/>
  <c r="D37" i="1"/>
  <c r="P37" i="1" s="1"/>
  <c r="C37" i="1"/>
  <c r="P36" i="1"/>
  <c r="P35" i="1"/>
  <c r="P33" i="1"/>
  <c r="P32" i="1"/>
  <c r="O30" i="1"/>
  <c r="O37" i="1" s="1"/>
  <c r="O39" i="1" s="1"/>
  <c r="N30" i="1"/>
  <c r="N37" i="1" s="1"/>
  <c r="M30" i="1"/>
  <c r="L30" i="1"/>
  <c r="K30" i="1"/>
  <c r="K37" i="1" s="1"/>
  <c r="K39" i="1" s="1"/>
  <c r="J30" i="1"/>
  <c r="J37" i="1" s="1"/>
  <c r="I30" i="1"/>
  <c r="H30" i="1"/>
  <c r="G30" i="1"/>
  <c r="G37" i="1" s="1"/>
  <c r="G39" i="1" s="1"/>
  <c r="F30" i="1"/>
  <c r="F37" i="1" s="1"/>
  <c r="E30" i="1"/>
  <c r="D30" i="1"/>
  <c r="P30" i="1" s="1"/>
  <c r="P28" i="1"/>
  <c r="P26" i="1"/>
  <c r="O21" i="1"/>
  <c r="N21" i="1"/>
  <c r="N39" i="1" s="1"/>
  <c r="K21" i="1"/>
  <c r="J21" i="1"/>
  <c r="J39" i="1" s="1"/>
  <c r="G21" i="1"/>
  <c r="C21" i="1"/>
  <c r="P20" i="1"/>
  <c r="P18" i="1"/>
  <c r="P17" i="1"/>
  <c r="M15" i="1"/>
  <c r="P15" i="1" s="1"/>
  <c r="P13" i="1"/>
  <c r="P11" i="1"/>
  <c r="M9" i="1"/>
  <c r="L9" i="1"/>
  <c r="J9" i="1"/>
  <c r="I9" i="1"/>
  <c r="F9" i="1"/>
  <c r="F21" i="1" s="1"/>
  <c r="F39" i="1" s="1"/>
  <c r="O7" i="1"/>
  <c r="N7" i="1"/>
  <c r="M7" i="1"/>
  <c r="M21" i="1" s="1"/>
  <c r="M39" i="1" s="1"/>
  <c r="L7" i="1"/>
  <c r="L21" i="1" s="1"/>
  <c r="L39" i="1" s="1"/>
  <c r="K7" i="1"/>
  <c r="J7" i="1"/>
  <c r="I7" i="1"/>
  <c r="I21" i="1" s="1"/>
  <c r="I39" i="1" s="1"/>
  <c r="H7" i="1"/>
  <c r="H21" i="1" s="1"/>
  <c r="H39" i="1" s="1"/>
  <c r="G7" i="1"/>
  <c r="F7" i="1"/>
  <c r="E7" i="1"/>
  <c r="E21" i="1" s="1"/>
  <c r="E39" i="1" s="1"/>
  <c r="D7" i="1"/>
  <c r="P7" i="1" s="1"/>
  <c r="P9" i="1" l="1"/>
  <c r="D21" i="1"/>
  <c r="K15" i="2"/>
  <c r="K26" i="2"/>
  <c r="K28" i="2"/>
  <c r="K11" i="2"/>
  <c r="K9" i="2"/>
  <c r="K13" i="2"/>
  <c r="K7" i="2"/>
  <c r="P21" i="1" l="1"/>
  <c r="P39" i="1" s="1"/>
  <c r="D39" i="1"/>
  <c r="I30" i="2"/>
  <c r="D43" i="1" l="1"/>
  <c r="E41" i="1"/>
  <c r="I26" i="2"/>
  <c r="I28" i="2"/>
  <c r="I20" i="2"/>
  <c r="I13" i="2"/>
  <c r="I11" i="2"/>
  <c r="I15" i="2"/>
  <c r="I7" i="2"/>
  <c r="E43" i="1" l="1"/>
  <c r="F41" i="1"/>
  <c r="G30" i="2"/>
  <c r="G11" i="2"/>
  <c r="G15" i="2"/>
  <c r="G26" i="2"/>
  <c r="G28" i="2"/>
  <c r="G36" i="2"/>
  <c r="G9" i="2"/>
  <c r="G13" i="2"/>
  <c r="G7" i="2"/>
  <c r="F43" i="1" l="1"/>
  <c r="G41" i="1"/>
  <c r="E26" i="2"/>
  <c r="E30" i="2"/>
  <c r="E28" i="2"/>
  <c r="E13" i="2"/>
  <c r="E36" i="2"/>
  <c r="E15" i="2"/>
  <c r="E11" i="2"/>
  <c r="E7" i="2"/>
  <c r="G43" i="1" l="1"/>
  <c r="H41" i="1"/>
  <c r="H41" i="5"/>
  <c r="H33" i="5"/>
  <c r="H28" i="5"/>
  <c r="H43" i="1" l="1"/>
  <c r="I41" i="1"/>
  <c r="E37" i="6"/>
  <c r="M15" i="6"/>
  <c r="L9" i="6"/>
  <c r="M9" i="6"/>
  <c r="J9" i="6"/>
  <c r="I9" i="6"/>
  <c r="H19" i="5"/>
  <c r="H12" i="5"/>
  <c r="J7" i="6"/>
  <c r="L7" i="6"/>
  <c r="N7" i="6"/>
  <c r="K7" i="6"/>
  <c r="H7" i="6"/>
  <c r="I7" i="6"/>
  <c r="M7" i="6"/>
  <c r="I43" i="1" l="1"/>
  <c r="J41" i="1"/>
  <c r="F21" i="6"/>
  <c r="J43" i="1" l="1"/>
  <c r="K41" i="1"/>
  <c r="D37" i="6"/>
  <c r="F37" i="6"/>
  <c r="K43" i="1" l="1"/>
  <c r="L41" i="1"/>
  <c r="W39" i="2"/>
  <c r="Y39" i="2"/>
  <c r="C41" i="2"/>
  <c r="AB41" i="2" s="1"/>
  <c r="G21" i="2"/>
  <c r="AB28" i="2"/>
  <c r="AB30" i="2"/>
  <c r="AB32" i="2"/>
  <c r="AB33" i="2"/>
  <c r="AB35" i="2"/>
  <c r="AB36" i="2"/>
  <c r="AB26" i="2"/>
  <c r="AB9" i="2"/>
  <c r="AB11" i="2"/>
  <c r="AB13" i="2"/>
  <c r="AB17" i="2"/>
  <c r="AB18" i="2"/>
  <c r="AB20" i="2"/>
  <c r="AB7" i="2"/>
  <c r="AA21" i="2"/>
  <c r="AA37" i="2"/>
  <c r="Y37" i="2"/>
  <c r="W37" i="2"/>
  <c r="U37" i="2"/>
  <c r="S37" i="2"/>
  <c r="Q37" i="2"/>
  <c r="O37" i="2"/>
  <c r="M37" i="2"/>
  <c r="K37" i="2"/>
  <c r="I37" i="2"/>
  <c r="G37" i="2"/>
  <c r="E37" i="2"/>
  <c r="Z28" i="2"/>
  <c r="Z30" i="2"/>
  <c r="Z32" i="2"/>
  <c r="Z33" i="2"/>
  <c r="Z35" i="2"/>
  <c r="Z36" i="2"/>
  <c r="Z26" i="2"/>
  <c r="X28" i="2"/>
  <c r="X30" i="2"/>
  <c r="X32" i="2"/>
  <c r="X33" i="2"/>
  <c r="X35" i="2"/>
  <c r="X36" i="2"/>
  <c r="X26" i="2"/>
  <c r="V28" i="2"/>
  <c r="V30" i="2"/>
  <c r="V32" i="2"/>
  <c r="V33" i="2"/>
  <c r="V35" i="2"/>
  <c r="V36" i="2"/>
  <c r="V26" i="2"/>
  <c r="T28" i="2"/>
  <c r="T30" i="2"/>
  <c r="T32" i="2"/>
  <c r="T33" i="2"/>
  <c r="T35" i="2"/>
  <c r="T36" i="2"/>
  <c r="T26" i="2"/>
  <c r="R28" i="2"/>
  <c r="R30" i="2"/>
  <c r="R32" i="2"/>
  <c r="R33" i="2"/>
  <c r="R35" i="2"/>
  <c r="R36" i="2"/>
  <c r="R26" i="2"/>
  <c r="P28" i="2"/>
  <c r="P30" i="2"/>
  <c r="P32" i="2"/>
  <c r="P33" i="2"/>
  <c r="P35" i="2"/>
  <c r="P36" i="2"/>
  <c r="P26" i="2"/>
  <c r="N28" i="2"/>
  <c r="N30" i="2"/>
  <c r="N32" i="2"/>
  <c r="N33" i="2"/>
  <c r="N35" i="2"/>
  <c r="N36" i="2"/>
  <c r="N26" i="2"/>
  <c r="L28" i="2"/>
  <c r="L30" i="2"/>
  <c r="L32" i="2"/>
  <c r="L33" i="2"/>
  <c r="L35" i="2"/>
  <c r="L36" i="2"/>
  <c r="L26" i="2"/>
  <c r="J28" i="2"/>
  <c r="J30" i="2"/>
  <c r="J32" i="2"/>
  <c r="J33" i="2"/>
  <c r="J35" i="2"/>
  <c r="J36" i="2"/>
  <c r="J26" i="2"/>
  <c r="H28" i="2"/>
  <c r="H30" i="2"/>
  <c r="H32" i="2"/>
  <c r="H33" i="2"/>
  <c r="H35" i="2"/>
  <c r="H36" i="2"/>
  <c r="H26" i="2"/>
  <c r="F28" i="2"/>
  <c r="F30" i="2"/>
  <c r="F32" i="2"/>
  <c r="F33" i="2"/>
  <c r="F35" i="2"/>
  <c r="F36" i="2"/>
  <c r="F26" i="2"/>
  <c r="C28" i="2"/>
  <c r="C30" i="2"/>
  <c r="C32" i="2"/>
  <c r="C33" i="2"/>
  <c r="C35" i="2"/>
  <c r="C36" i="2"/>
  <c r="C26" i="2"/>
  <c r="D28" i="2"/>
  <c r="D30" i="2"/>
  <c r="D32" i="2"/>
  <c r="D33" i="2"/>
  <c r="D35" i="2"/>
  <c r="D36" i="2"/>
  <c r="D26" i="2"/>
  <c r="Y21" i="2"/>
  <c r="W21" i="2"/>
  <c r="U21" i="2"/>
  <c r="U39" i="2" s="1"/>
  <c r="S21" i="2"/>
  <c r="Q21" i="2"/>
  <c r="O21" i="2"/>
  <c r="M21" i="2"/>
  <c r="K21" i="2"/>
  <c r="I21" i="2"/>
  <c r="Z9" i="2"/>
  <c r="Z11" i="2"/>
  <c r="Z13" i="2"/>
  <c r="Z15" i="2"/>
  <c r="Z17" i="2"/>
  <c r="Z18" i="2"/>
  <c r="Z20" i="2"/>
  <c r="Z7" i="2"/>
  <c r="X9" i="2"/>
  <c r="X11" i="2"/>
  <c r="X13" i="2"/>
  <c r="X15" i="2"/>
  <c r="X17" i="2"/>
  <c r="X18" i="2"/>
  <c r="X20" i="2"/>
  <c r="X7" i="2"/>
  <c r="V9" i="2"/>
  <c r="V11" i="2"/>
  <c r="V13" i="2"/>
  <c r="V15" i="2"/>
  <c r="V17" i="2"/>
  <c r="V18" i="2"/>
  <c r="V20" i="2"/>
  <c r="V7" i="2"/>
  <c r="T9" i="2"/>
  <c r="T11" i="2"/>
  <c r="T13" i="2"/>
  <c r="T15" i="2"/>
  <c r="T17" i="2"/>
  <c r="T18" i="2"/>
  <c r="T20" i="2"/>
  <c r="T7" i="2"/>
  <c r="R9" i="2"/>
  <c r="R11" i="2"/>
  <c r="R13" i="2"/>
  <c r="R15" i="2"/>
  <c r="R17" i="2"/>
  <c r="R18" i="2"/>
  <c r="R20" i="2"/>
  <c r="R7" i="2"/>
  <c r="P9" i="2"/>
  <c r="P11" i="2"/>
  <c r="P13" i="2"/>
  <c r="P15" i="2"/>
  <c r="P17" i="2"/>
  <c r="P18" i="2"/>
  <c r="P20" i="2"/>
  <c r="P7" i="2"/>
  <c r="N9" i="2"/>
  <c r="N11" i="2"/>
  <c r="N13" i="2"/>
  <c r="N15" i="2"/>
  <c r="N17" i="2"/>
  <c r="N18" i="2"/>
  <c r="N20" i="2"/>
  <c r="N7" i="2"/>
  <c r="L9" i="2"/>
  <c r="L11" i="2"/>
  <c r="L13" i="2"/>
  <c r="L15" i="2"/>
  <c r="L17" i="2"/>
  <c r="L18" i="2"/>
  <c r="L20" i="2"/>
  <c r="L7" i="2"/>
  <c r="J9" i="2"/>
  <c r="J11" i="2"/>
  <c r="J13" i="2"/>
  <c r="J15" i="2"/>
  <c r="J17" i="2"/>
  <c r="J18" i="2"/>
  <c r="J20" i="2"/>
  <c r="J7" i="2"/>
  <c r="H9" i="2"/>
  <c r="H11" i="2"/>
  <c r="H13" i="2"/>
  <c r="H15" i="2"/>
  <c r="H17" i="2"/>
  <c r="H18" i="2"/>
  <c r="H20" i="2"/>
  <c r="H7" i="2"/>
  <c r="F13" i="2"/>
  <c r="F9" i="2"/>
  <c r="F11" i="2"/>
  <c r="F15" i="2"/>
  <c r="F17" i="2"/>
  <c r="F18" i="2"/>
  <c r="F20" i="2"/>
  <c r="F7" i="2"/>
  <c r="D20" i="2"/>
  <c r="D18" i="2"/>
  <c r="D17" i="2"/>
  <c r="D15" i="2"/>
  <c r="D13" i="2"/>
  <c r="D11" i="2"/>
  <c r="D9" i="2"/>
  <c r="D7" i="2"/>
  <c r="C9" i="2"/>
  <c r="C11" i="2"/>
  <c r="C15" i="2"/>
  <c r="C17" i="2"/>
  <c r="C18" i="2"/>
  <c r="C20" i="2"/>
  <c r="C7" i="2"/>
  <c r="Q39" i="2" l="1"/>
  <c r="O39" i="2"/>
  <c r="M39" i="2"/>
  <c r="L43" i="1"/>
  <c r="M41" i="1"/>
  <c r="I39" i="2"/>
  <c r="G39" i="2"/>
  <c r="AA39" i="2"/>
  <c r="D41" i="2"/>
  <c r="K39" i="2"/>
  <c r="S39" i="2"/>
  <c r="E41" i="2"/>
  <c r="AB15" i="2"/>
  <c r="AB37" i="2"/>
  <c r="E21" i="2"/>
  <c r="D41" i="6"/>
  <c r="O37" i="6"/>
  <c r="Z37" i="2" s="1"/>
  <c r="N37" i="6"/>
  <c r="X37" i="2" s="1"/>
  <c r="M37" i="6"/>
  <c r="V37" i="2" s="1"/>
  <c r="L37" i="6"/>
  <c r="T37" i="2" s="1"/>
  <c r="K37" i="6"/>
  <c r="R37" i="2" s="1"/>
  <c r="J37" i="6"/>
  <c r="P37" i="2" s="1"/>
  <c r="I37" i="6"/>
  <c r="N37" i="2" s="1"/>
  <c r="H37" i="6"/>
  <c r="L37" i="2" s="1"/>
  <c r="G37" i="6"/>
  <c r="J37" i="2" s="1"/>
  <c r="H37" i="2"/>
  <c r="F37" i="2"/>
  <c r="D37" i="2"/>
  <c r="C37" i="6"/>
  <c r="C37" i="2" s="1"/>
  <c r="P36" i="6"/>
  <c r="P35" i="6"/>
  <c r="P33" i="6"/>
  <c r="P32" i="6"/>
  <c r="P30" i="6"/>
  <c r="P28" i="6"/>
  <c r="P26" i="6"/>
  <c r="O21" i="6"/>
  <c r="Z21" i="2" s="1"/>
  <c r="N21" i="6"/>
  <c r="M21" i="6"/>
  <c r="L21" i="6"/>
  <c r="K21" i="6"/>
  <c r="R21" i="2" s="1"/>
  <c r="R39" i="2" s="1"/>
  <c r="J21" i="6"/>
  <c r="I21" i="6"/>
  <c r="H21" i="6"/>
  <c r="G21" i="6"/>
  <c r="J21" i="2" s="1"/>
  <c r="E21" i="6"/>
  <c r="D21" i="6"/>
  <c r="C21" i="6"/>
  <c r="C21" i="2" s="1"/>
  <c r="P20" i="6"/>
  <c r="P18" i="6"/>
  <c r="P17" i="6"/>
  <c r="P15" i="6"/>
  <c r="P13" i="6"/>
  <c r="P11" i="6"/>
  <c r="P9" i="6"/>
  <c r="P7" i="6"/>
  <c r="Z39" i="2" l="1"/>
  <c r="J39" i="2"/>
  <c r="M43" i="1"/>
  <c r="N41" i="1"/>
  <c r="C39" i="2"/>
  <c r="C43" i="2" s="1"/>
  <c r="AB21" i="2"/>
  <c r="AB39" i="2" s="1"/>
  <c r="AB43" i="2" s="1"/>
  <c r="E39" i="2"/>
  <c r="E43" i="2" s="1"/>
  <c r="G41" i="2" s="1"/>
  <c r="G43" i="2" s="1"/>
  <c r="I41" i="2" s="1"/>
  <c r="I43" i="2" s="1"/>
  <c r="K41" i="2" s="1"/>
  <c r="K43" i="2" s="1"/>
  <c r="M41" i="2" s="1"/>
  <c r="E39" i="6"/>
  <c r="F21" i="2"/>
  <c r="F39" i="2" s="1"/>
  <c r="I39" i="6"/>
  <c r="N21" i="2"/>
  <c r="N39" i="2" s="1"/>
  <c r="M39" i="6"/>
  <c r="V21" i="2"/>
  <c r="V39" i="2" s="1"/>
  <c r="F39" i="6"/>
  <c r="H21" i="2"/>
  <c r="H39" i="2" s="1"/>
  <c r="J39" i="6"/>
  <c r="P21" i="2"/>
  <c r="P39" i="2" s="1"/>
  <c r="N39" i="6"/>
  <c r="X21" i="2"/>
  <c r="X39" i="2" s="1"/>
  <c r="D39" i="6"/>
  <c r="E41" i="6" s="1"/>
  <c r="D21" i="2"/>
  <c r="D39" i="2" s="1"/>
  <c r="D43" i="2" s="1"/>
  <c r="F41" i="2" s="1"/>
  <c r="H39" i="6"/>
  <c r="L21" i="2"/>
  <c r="L39" i="2" s="1"/>
  <c r="L39" i="6"/>
  <c r="T21" i="2"/>
  <c r="T39" i="2" s="1"/>
  <c r="P37" i="6"/>
  <c r="G39" i="6"/>
  <c r="K39" i="6"/>
  <c r="O39" i="6"/>
  <c r="C39" i="6"/>
  <c r="C43" i="6" s="1"/>
  <c r="P21" i="6"/>
  <c r="B5" i="5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F43" i="2" l="1"/>
  <c r="H41" i="2" s="1"/>
  <c r="H43" i="2" s="1"/>
  <c r="J41" i="2" s="1"/>
  <c r="J43" i="2" s="1"/>
  <c r="L41" i="2" s="1"/>
  <c r="L43" i="2" s="1"/>
  <c r="N41" i="2" s="1"/>
  <c r="N43" i="1"/>
  <c r="O41" i="1"/>
  <c r="O43" i="1" s="1"/>
  <c r="P43" i="1" s="1"/>
  <c r="M43" i="2"/>
  <c r="O41" i="2" s="1"/>
  <c r="D43" i="6"/>
  <c r="P39" i="6"/>
  <c r="E43" i="6"/>
  <c r="F41" i="6"/>
  <c r="N43" i="2" l="1"/>
  <c r="P41" i="2" s="1"/>
  <c r="O43" i="2"/>
  <c r="Q41" i="2" s="1"/>
  <c r="F43" i="6"/>
  <c r="G41" i="6"/>
  <c r="P43" i="2" l="1"/>
  <c r="R41" i="2" s="1"/>
  <c r="Q43" i="2"/>
  <c r="S41" i="2" s="1"/>
  <c r="G43" i="6"/>
  <c r="H41" i="6"/>
  <c r="R43" i="2" l="1"/>
  <c r="T41" i="2" s="1"/>
  <c r="S43" i="2"/>
  <c r="U41" i="2" s="1"/>
  <c r="H43" i="6"/>
  <c r="I41" i="6"/>
  <c r="T43" i="2" l="1"/>
  <c r="V41" i="2" s="1"/>
  <c r="U43" i="2"/>
  <c r="W41" i="2" s="1"/>
  <c r="I43" i="6"/>
  <c r="J41" i="6"/>
  <c r="V43" i="2" l="1"/>
  <c r="X41" i="2" s="1"/>
  <c r="W43" i="2"/>
  <c r="Y41" i="2" s="1"/>
  <c r="J43" i="6"/>
  <c r="K41" i="6"/>
  <c r="X43" i="2" l="1"/>
  <c r="Z41" i="2" s="1"/>
  <c r="Z43" i="2" s="1"/>
  <c r="Y43" i="2"/>
  <c r="AA41" i="2" s="1"/>
  <c r="AA43" i="2" s="1"/>
  <c r="K43" i="6"/>
  <c r="L41" i="6"/>
  <c r="L43" i="6" l="1"/>
  <c r="M41" i="6"/>
  <c r="M43" i="6" l="1"/>
  <c r="N41" i="6"/>
  <c r="N43" i="6" l="1"/>
  <c r="O41" i="6"/>
  <c r="O43" i="6" s="1"/>
  <c r="P43" i="6" s="1"/>
</calcChain>
</file>

<file path=xl/sharedStrings.xml><?xml version="1.0" encoding="utf-8"?>
<sst xmlns="http://schemas.openxmlformats.org/spreadsheetml/2006/main" count="326" uniqueCount="123">
  <si>
    <t>Cashflow Forecast 2018-19 - September</t>
  </si>
  <si>
    <t>Income</t>
  </si>
  <si>
    <t>Full Year Expected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</si>
  <si>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</si>
  <si>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</si>
  <si>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</si>
  <si>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</si>
  <si>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</si>
  <si>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</si>
  <si>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</si>
  <si>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</si>
  <si>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</si>
  <si>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</si>
  <si>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July</t>
  </si>
  <si>
    <t>Aug</t>
  </si>
  <si>
    <t>Total</t>
  </si>
  <si>
    <t>Lettings</t>
  </si>
  <si>
    <t>Trips</t>
  </si>
  <si>
    <t>All other income</t>
  </si>
  <si>
    <t>ESFA CIF</t>
  </si>
  <si>
    <t>Debtors form last year</t>
  </si>
  <si>
    <t>Total Receipts</t>
  </si>
  <si>
    <t>Expenditure</t>
  </si>
  <si>
    <t>Staffing Costs</t>
  </si>
  <si>
    <t>All other expenditure</t>
  </si>
  <si>
    <t>Trip expenditure</t>
  </si>
  <si>
    <t>Employee accrurals from last year</t>
  </si>
  <si>
    <t>Creditors from last year</t>
  </si>
  <si>
    <t>Opening Cash Balance</t>
  </si>
  <si>
    <t>Total Payments</t>
  </si>
  <si>
    <t>Cashflow Surplus\Deficit (-)</t>
  </si>
  <si>
    <t>Closing Cash Balance</t>
  </si>
  <si>
    <r>
      <t xml:space="preserve">Local Authorities </t>
    </r>
    <r>
      <rPr>
        <sz val="10"/>
        <color theme="1"/>
        <rFont val="Tahoma"/>
        <family val="2"/>
      </rPr>
      <t>(SEN,Falling Rolls, LAC)</t>
    </r>
  </si>
  <si>
    <t>ESFA CIF - Roofing 2017</t>
  </si>
  <si>
    <t>ESFA CIF - Cladding 2017</t>
  </si>
  <si>
    <t>Cashflow Expected\Actuals 2018-19</t>
  </si>
  <si>
    <t>Sept Expected</t>
  </si>
  <si>
    <t>Oct Expected</t>
  </si>
  <si>
    <t>Nov Expected</t>
  </si>
  <si>
    <t>Dec Expected</t>
  </si>
  <si>
    <t>Jan Expected</t>
  </si>
  <si>
    <t>Feb Expected</t>
  </si>
  <si>
    <t>Mar Expected</t>
  </si>
  <si>
    <t>Apr Expected</t>
  </si>
  <si>
    <t>May Expected</t>
  </si>
  <si>
    <t>Jun Expected</t>
  </si>
  <si>
    <t>July Expected</t>
  </si>
  <si>
    <t>Aug Expected</t>
  </si>
  <si>
    <t>Note</t>
  </si>
  <si>
    <t>Shenfield High School</t>
  </si>
  <si>
    <t>Cashflow Forecast Notes</t>
  </si>
  <si>
    <t>Nov Actuals</t>
  </si>
  <si>
    <t>Total Actuals</t>
  </si>
  <si>
    <t>Aug Actuals</t>
  </si>
  <si>
    <t>July Actuals</t>
  </si>
  <si>
    <t>Jun Actuals</t>
  </si>
  <si>
    <t>May Actuals</t>
  </si>
  <si>
    <t>Apr Actuals</t>
  </si>
  <si>
    <t>Mar Actuals</t>
  </si>
  <si>
    <t>Feb Actuals</t>
  </si>
  <si>
    <t>Jan Actuals</t>
  </si>
  <si>
    <t>Dec Actuals</t>
  </si>
  <si>
    <t>Oct Actuals</t>
  </si>
  <si>
    <t>Sept Actuals</t>
  </si>
  <si>
    <r>
      <t xml:space="preserve">ESFA </t>
    </r>
    <r>
      <rPr>
        <sz val="10"/>
        <color theme="1"/>
        <rFont val="Tahoma"/>
        <family val="2"/>
      </rPr>
      <t>(GAG,PP,6th Form,Bursary,DFC, Rates)</t>
    </r>
  </si>
  <si>
    <r>
      <t xml:space="preserve">ESFA </t>
    </r>
    <r>
      <rPr>
        <sz val="8"/>
        <color theme="1"/>
        <rFont val="Tahoma"/>
        <family val="2"/>
      </rPr>
      <t>(GAG,PP,6th Form,Bursary,DFC, Rates, PP catchup)</t>
    </r>
  </si>
  <si>
    <r>
      <t xml:space="preserve">Local Authorities </t>
    </r>
    <r>
      <rPr>
        <sz val="8"/>
        <color theme="1"/>
        <rFont val="Tahoma"/>
        <family val="2"/>
      </rPr>
      <t>(SEN,Falling Rolls, LAC)</t>
    </r>
  </si>
  <si>
    <t>Table 1: ESFA income</t>
  </si>
  <si>
    <t>GAG</t>
  </si>
  <si>
    <t>PP</t>
  </si>
  <si>
    <t>6th Form</t>
  </si>
  <si>
    <t>Bursary</t>
  </si>
  <si>
    <t>DFC</t>
  </si>
  <si>
    <t>Rates</t>
  </si>
  <si>
    <t>PP catchup</t>
  </si>
  <si>
    <t>Notes</t>
  </si>
  <si>
    <t>336,704 x 12</t>
  </si>
  <si>
    <t>29,452 x 4 (Oct, Jan, Apr, Jul)</t>
  </si>
  <si>
    <t>130,669 x 12</t>
  </si>
  <si>
    <t>12,492 Sept, 6246 Apr</t>
  </si>
  <si>
    <t>March</t>
  </si>
  <si>
    <t>See table 1 for breakdown</t>
  </si>
  <si>
    <t>See table 2 for breakdown</t>
  </si>
  <si>
    <t>Table 2: Local Authorities income</t>
  </si>
  <si>
    <t>SEN (Essex)</t>
  </si>
  <si>
    <t>Bexley</t>
  </si>
  <si>
    <t>Falling Rolls</t>
  </si>
  <si>
    <t xml:space="preserve">5,059 per month paid termly, Nov (Autumn) x4 £20,236, Feb (Spring) x3 £15,177, July (Summer) x5 £25,295 </t>
  </si>
  <si>
    <t>2,125 per month paid termly, Nov (Autumn) x4 £8,500, Mar (Spring) x3 £6,375, June (Summer) x5 £10,625</t>
  </si>
  <si>
    <t>SGO income £23,800 June</t>
  </si>
  <si>
    <t>As per year end notes</t>
  </si>
  <si>
    <r>
      <t xml:space="preserve">Full cost of salaries from budget </t>
    </r>
    <r>
      <rPr>
        <sz val="10"/>
        <color theme="1"/>
        <rFont val="Tahoma"/>
        <family val="2"/>
      </rPr>
      <t>(before PP staffing contribution)</t>
    </r>
    <r>
      <rPr>
        <sz val="12"/>
        <color theme="1"/>
        <rFont val="Tahoma"/>
        <family val="2"/>
      </rPr>
      <t>, minus TPS increase</t>
    </r>
  </si>
  <si>
    <t>6,7,8</t>
  </si>
  <si>
    <r>
      <t xml:space="preserve">All other expenditure from budget minus PP staffing </t>
    </r>
    <r>
      <rPr>
        <sz val="10"/>
        <color theme="1"/>
        <rFont val="Tahoma"/>
        <family val="2"/>
      </rPr>
      <t>(this is included in salaries expenditure)</t>
    </r>
  </si>
  <si>
    <t>Astro sinking fund</t>
  </si>
  <si>
    <t>Not to be spent this year</t>
  </si>
  <si>
    <r>
      <t>All ring-fenced (</t>
    </r>
    <r>
      <rPr>
        <sz val="10"/>
        <color theme="1"/>
        <rFont val="Tahoma"/>
        <family val="2"/>
      </rPr>
      <t>except CCF and JRI donantion)</t>
    </r>
  </si>
  <si>
    <t>Income\expenditure not predictable</t>
  </si>
  <si>
    <t>Restricted - School Games</t>
  </si>
  <si>
    <t>Restricted - Insurance cost</t>
  </si>
  <si>
    <t>No cashflow impact</t>
  </si>
  <si>
    <t>Restricted - CIF</t>
  </si>
  <si>
    <t>CIF listed separately</t>
  </si>
  <si>
    <t>Astro sinking fund contribution</t>
  </si>
  <si>
    <t>Other expenditure also has the following exclusion compared to budget - see table 3 and 4</t>
  </si>
  <si>
    <t>Table 4: Other Exclusions from Other Expenditure</t>
  </si>
  <si>
    <t xml:space="preserve">Table 5: Distribution of Other Expenditure </t>
  </si>
  <si>
    <t>Insurance</t>
  </si>
  <si>
    <t>April</t>
  </si>
  <si>
    <t>Exams</t>
  </si>
  <si>
    <t>Oct 6,246, Jan 6,246, Mar 6,246</t>
  </si>
  <si>
    <t>Salix</t>
  </si>
  <si>
    <t xml:space="preserve">All other </t>
  </si>
  <si>
    <t>12 x 76,643</t>
  </si>
  <si>
    <t>Sept 11,439, Mar 11,439</t>
  </si>
  <si>
    <t>Oct 30k, Jan 65k, May 10k June 10k, July 10k</t>
  </si>
  <si>
    <t>Distribution of other expenditure as per table 5</t>
  </si>
  <si>
    <t>Table 3: Budget Appendix A Exclusions from Other expenditure (£154,461 total)</t>
  </si>
  <si>
    <t>Cashflow Forecast 2018-19 - January</t>
  </si>
  <si>
    <r>
      <t xml:space="preserve">Full cost of salaries from Staff Calculators in Nov 18 </t>
    </r>
    <r>
      <rPr>
        <sz val="10"/>
        <color theme="1"/>
        <rFont val="Tahoma"/>
        <family val="2"/>
      </rPr>
      <t>(before PP staffing reduction)</t>
    </r>
  </si>
  <si>
    <r>
      <t xml:space="preserve">All other exp from budget - PP staffing </t>
    </r>
    <r>
      <rPr>
        <sz val="10"/>
        <color theme="1"/>
        <rFont val="Tahoma"/>
        <family val="2"/>
      </rPr>
      <t>(this is included in salaries expenditure) inc actual figures Sep-Dec</t>
    </r>
  </si>
  <si>
    <t>Oct 30k, Jan 60k, June 10k, July 10k</t>
  </si>
  <si>
    <t>Sep-Dec Actuals + £76,496 x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</si>
</sst>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&quot;£&quot;#,##0"/>
  </numFmts>
  <fonts count="10" x14ac:knownFonts="1">
    <font>
      <sz val="12"/>
      <color theme="1"/>
      <name val="Cambria"/>
      <family val="2"/>
    </font>
    <font>
      <sz val="12"/>
      <color theme="1"/>
      <name val="Tahoma"/>
      <family val="2"/>
    </font>
    <font>
      <b/>
      <u/>
      <sz val="12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i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6"/>
      <color indexed="8"/>
      <name val="Tahoma"/>
      <family val="2"/>
    </font>
    <font>
      <sz val="8"/>
      <color theme="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1" fillId="2" borderId="0" xfId="0" applyFont="1" applyFill="1" applyBorder="1"/>
    <xf numFmtId="0" fontId="1" fillId="3" borderId="5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2" fillId="3" borderId="10" xfId="0" applyFont="1" applyFill="1" applyBorder="1"/>
    <xf numFmtId="0" fontId="1" fillId="3" borderId="11" xfId="0" applyFont="1" applyFill="1" applyBorder="1"/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3" borderId="20" xfId="0" applyFont="1" applyFill="1" applyBorder="1"/>
    <xf numFmtId="0" fontId="4" fillId="3" borderId="9" xfId="0" applyFont="1" applyFill="1" applyBorder="1"/>
    <xf numFmtId="0" fontId="1" fillId="3" borderId="21" xfId="0" applyFont="1" applyFill="1" applyBorder="1"/>
    <xf numFmtId="0" fontId="7" fillId="2" borderId="0" xfId="0" applyFont="1" applyFill="1" applyAlignment="1">
      <alignment wrapText="1"/>
    </xf>
    <xf numFmtId="0" fontId="6" fillId="0" borderId="22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1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" fillId="0" borderId="38" xfId="0" applyFont="1" applyBorder="1"/>
    <xf numFmtId="0" fontId="1" fillId="0" borderId="39" xfId="0" applyFont="1" applyBorder="1"/>
    <xf numFmtId="0" fontId="1" fillId="0" borderId="5" xfId="0" applyFont="1" applyBorder="1"/>
    <xf numFmtId="0" fontId="1" fillId="0" borderId="6" xfId="0" applyFont="1" applyBorder="1"/>
    <xf numFmtId="0" fontId="7" fillId="0" borderId="5" xfId="0" applyFont="1" applyBorder="1" applyAlignment="1">
      <alignment wrapText="1"/>
    </xf>
    <xf numFmtId="0" fontId="1" fillId="2" borderId="5" xfId="0" applyFont="1" applyFill="1" applyBorder="1"/>
    <xf numFmtId="0" fontId="1" fillId="2" borderId="6" xfId="0" applyFont="1" applyFill="1" applyBorder="1"/>
    <xf numFmtId="0" fontId="1" fillId="0" borderId="40" xfId="0" applyFont="1" applyBorder="1"/>
    <xf numFmtId="0" fontId="7" fillId="0" borderId="9" xfId="0" applyFont="1" applyBorder="1" applyAlignment="1">
      <alignment wrapText="1"/>
    </xf>
    <xf numFmtId="0" fontId="1" fillId="9" borderId="5" xfId="0" applyFont="1" applyFill="1" applyBorder="1"/>
    <xf numFmtId="0" fontId="1" fillId="9" borderId="8" xfId="0" applyFont="1" applyFill="1" applyBorder="1"/>
    <xf numFmtId="0" fontId="2" fillId="9" borderId="10" xfId="0" applyFont="1" applyFill="1" applyBorder="1"/>
    <xf numFmtId="0" fontId="1" fillId="9" borderId="11" xfId="0" applyFont="1" applyFill="1" applyBorder="1"/>
    <xf numFmtId="0" fontId="4" fillId="9" borderId="9" xfId="0" applyFont="1" applyFill="1" applyBorder="1"/>
    <xf numFmtId="0" fontId="1" fillId="9" borderId="7" xfId="0" applyFont="1" applyFill="1" applyBorder="1"/>
    <xf numFmtId="0" fontId="1" fillId="9" borderId="21" xfId="0" applyFont="1" applyFill="1" applyBorder="1"/>
    <xf numFmtId="0" fontId="4" fillId="8" borderId="34" xfId="0" applyFont="1" applyFill="1" applyBorder="1"/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 applyProtection="1">
      <alignment horizontal="left" wrapTex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164" fontId="1" fillId="9" borderId="27" xfId="0" applyNumberFormat="1" applyFont="1" applyFill="1" applyBorder="1"/>
    <xf numFmtId="164" fontId="1" fillId="9" borderId="32" xfId="0" applyNumberFormat="1" applyFont="1" applyFill="1" applyBorder="1"/>
    <xf numFmtId="164" fontId="1" fillId="9" borderId="35" xfId="0" applyNumberFormat="1" applyFont="1" applyFill="1" applyBorder="1"/>
    <xf numFmtId="164" fontId="1" fillId="9" borderId="16" xfId="0" applyNumberFormat="1" applyFont="1" applyFill="1" applyBorder="1"/>
    <xf numFmtId="164" fontId="1" fillId="9" borderId="47" xfId="0" applyNumberFormat="1" applyFont="1" applyFill="1" applyBorder="1"/>
    <xf numFmtId="164" fontId="1" fillId="8" borderId="22" xfId="0" applyNumberFormat="1" applyFont="1" applyFill="1" applyBorder="1"/>
    <xf numFmtId="164" fontId="1" fillId="8" borderId="23" xfId="0" applyNumberFormat="1" applyFont="1" applyFill="1" applyBorder="1"/>
    <xf numFmtId="164" fontId="1" fillId="8" borderId="3" xfId="0" applyNumberFormat="1" applyFont="1" applyFill="1" applyBorder="1"/>
    <xf numFmtId="164" fontId="4" fillId="8" borderId="22" xfId="0" applyNumberFormat="1" applyFont="1" applyFill="1" applyBorder="1"/>
    <xf numFmtId="164" fontId="4" fillId="8" borderId="23" xfId="0" applyNumberFormat="1" applyFont="1" applyFill="1" applyBorder="1"/>
    <xf numFmtId="164" fontId="4" fillId="8" borderId="3" xfId="0" applyNumberFormat="1" applyFont="1" applyFill="1" applyBorder="1"/>
    <xf numFmtId="164" fontId="4" fillId="9" borderId="20" xfId="0" applyNumberFormat="1" applyFont="1" applyFill="1" applyBorder="1"/>
    <xf numFmtId="0" fontId="6" fillId="6" borderId="18" xfId="0" applyFont="1" applyFill="1" applyBorder="1" applyAlignment="1">
      <alignment horizontal="center" vertical="center" wrapText="1"/>
    </xf>
    <xf numFmtId="0" fontId="6" fillId="6" borderId="63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4" fillId="0" borderId="39" xfId="0" applyFont="1" applyBorder="1"/>
    <xf numFmtId="0" fontId="4" fillId="0" borderId="6" xfId="0" applyFont="1" applyBorder="1"/>
    <xf numFmtId="0" fontId="4" fillId="2" borderId="6" xfId="0" applyFont="1" applyFill="1" applyBorder="1"/>
    <xf numFmtId="164" fontId="4" fillId="6" borderId="48" xfId="0" applyNumberFormat="1" applyFont="1" applyFill="1" applyBorder="1"/>
    <xf numFmtId="164" fontId="4" fillId="9" borderId="32" xfId="0" applyNumberFormat="1" applyFont="1" applyFill="1" applyBorder="1"/>
    <xf numFmtId="164" fontId="4" fillId="6" borderId="32" xfId="0" applyNumberFormat="1" applyFont="1" applyFill="1" applyBorder="1"/>
    <xf numFmtId="164" fontId="4" fillId="9" borderId="30" xfId="0" applyNumberFormat="1" applyFont="1" applyFill="1" applyBorder="1"/>
    <xf numFmtId="164" fontId="4" fillId="9" borderId="33" xfId="0" applyNumberFormat="1" applyFont="1" applyFill="1" applyBorder="1"/>
    <xf numFmtId="164" fontId="4" fillId="9" borderId="31" xfId="0" applyNumberFormat="1" applyFont="1" applyFill="1" applyBorder="1"/>
    <xf numFmtId="0" fontId="4" fillId="4" borderId="22" xfId="0" applyFont="1" applyFill="1" applyBorder="1" applyProtection="1">
      <protection locked="0"/>
    </xf>
    <xf numFmtId="164" fontId="4" fillId="3" borderId="22" xfId="0" applyNumberFormat="1" applyFont="1" applyFill="1" applyBorder="1" applyProtection="1">
      <protection locked="0"/>
    </xf>
    <xf numFmtId="164" fontId="4" fillId="4" borderId="11" xfId="0" applyNumberFormat="1" applyFont="1" applyFill="1" applyBorder="1" applyProtection="1"/>
    <xf numFmtId="164" fontId="4" fillId="4" borderId="37" xfId="0" applyNumberFormat="1" applyFont="1" applyFill="1" applyBorder="1" applyProtection="1"/>
    <xf numFmtId="164" fontId="4" fillId="4" borderId="50" xfId="0" applyNumberFormat="1" applyFont="1" applyFill="1" applyBorder="1" applyProtection="1"/>
    <xf numFmtId="0" fontId="4" fillId="5" borderId="34" xfId="0" applyFont="1" applyFill="1" applyBorder="1" applyProtection="1"/>
    <xf numFmtId="164" fontId="4" fillId="5" borderId="22" xfId="0" applyNumberFormat="1" applyFont="1" applyFill="1" applyBorder="1" applyProtection="1"/>
    <xf numFmtId="164" fontId="4" fillId="5" borderId="23" xfId="0" applyNumberFormat="1" applyFont="1" applyFill="1" applyBorder="1" applyProtection="1"/>
    <xf numFmtId="164" fontId="4" fillId="5" borderId="55" xfId="0" applyNumberFormat="1" applyFont="1" applyFill="1" applyBorder="1" applyProtection="1"/>
    <xf numFmtId="0" fontId="1" fillId="3" borderId="5" xfId="0" applyFont="1" applyFill="1" applyBorder="1" applyProtection="1"/>
    <xf numFmtId="164" fontId="4" fillId="3" borderId="32" xfId="0" applyNumberFormat="1" applyFont="1" applyFill="1" applyBorder="1" applyProtection="1"/>
    <xf numFmtId="164" fontId="1" fillId="3" borderId="35" xfId="0" applyNumberFormat="1" applyFont="1" applyFill="1" applyBorder="1" applyProtection="1"/>
    <xf numFmtId="164" fontId="1" fillId="3" borderId="16" xfId="0" applyNumberFormat="1" applyFont="1" applyFill="1" applyBorder="1" applyProtection="1"/>
    <xf numFmtId="164" fontId="1" fillId="3" borderId="47" xfId="0" applyNumberFormat="1" applyFont="1" applyFill="1" applyBorder="1" applyProtection="1"/>
    <xf numFmtId="164" fontId="4" fillId="5" borderId="3" xfId="0" applyNumberFormat="1" applyFont="1" applyFill="1" applyBorder="1" applyProtection="1"/>
    <xf numFmtId="164" fontId="4" fillId="3" borderId="48" xfId="0" applyNumberFormat="1" applyFont="1" applyFill="1" applyBorder="1" applyProtection="1">
      <protection locked="0"/>
    </xf>
    <xf numFmtId="164" fontId="1" fillId="3" borderId="27" xfId="0" applyNumberFormat="1" applyFont="1" applyFill="1" applyBorder="1" applyProtection="1">
      <protection locked="0"/>
    </xf>
    <xf numFmtId="164" fontId="4" fillId="3" borderId="33" xfId="0" applyNumberFormat="1" applyFont="1" applyFill="1" applyBorder="1" applyProtection="1">
      <protection locked="0"/>
    </xf>
    <xf numFmtId="164" fontId="1" fillId="3" borderId="28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43" xfId="0" applyNumberFormat="1" applyFont="1" applyFill="1" applyBorder="1" applyProtection="1">
      <protection locked="0"/>
    </xf>
    <xf numFmtId="164" fontId="4" fillId="3" borderId="48" xfId="0" applyNumberFormat="1" applyFont="1" applyFill="1" applyBorder="1" applyProtection="1"/>
    <xf numFmtId="164" fontId="4" fillId="3" borderId="33" xfId="0" applyNumberFormat="1" applyFont="1" applyFill="1" applyBorder="1" applyProtection="1"/>
    <xf numFmtId="164" fontId="4" fillId="3" borderId="30" xfId="0" applyNumberFormat="1" applyFont="1" applyFill="1" applyBorder="1" applyProtection="1">
      <protection locked="0"/>
    </xf>
    <xf numFmtId="164" fontId="1" fillId="3" borderId="25" xfId="0" applyNumberFormat="1" applyFont="1" applyFill="1" applyBorder="1" applyProtection="1">
      <protection locked="0"/>
    </xf>
    <xf numFmtId="164" fontId="4" fillId="3" borderId="31" xfId="0" applyNumberFormat="1" applyFont="1" applyFill="1" applyBorder="1" applyProtection="1">
      <protection locked="0"/>
    </xf>
    <xf numFmtId="164" fontId="1" fillId="3" borderId="26" xfId="0" applyNumberFormat="1" applyFont="1" applyFill="1" applyBorder="1" applyProtection="1">
      <protection locked="0"/>
    </xf>
    <xf numFmtId="164" fontId="1" fillId="3" borderId="15" xfId="0" applyNumberFormat="1" applyFont="1" applyFill="1" applyBorder="1" applyProtection="1">
      <protection locked="0"/>
    </xf>
    <xf numFmtId="164" fontId="1" fillId="3" borderId="44" xfId="0" applyNumberFormat="1" applyFont="1" applyFill="1" applyBorder="1" applyProtection="1">
      <protection locked="0"/>
    </xf>
    <xf numFmtId="164" fontId="4" fillId="3" borderId="30" xfId="0" applyNumberFormat="1" applyFont="1" applyFill="1" applyBorder="1" applyProtection="1"/>
    <xf numFmtId="164" fontId="4" fillId="3" borderId="31" xfId="0" applyNumberFormat="1" applyFont="1" applyFill="1" applyBorder="1" applyProtection="1"/>
    <xf numFmtId="164" fontId="1" fillId="6" borderId="2" xfId="0" applyNumberFormat="1" applyFont="1" applyFill="1" applyBorder="1" applyProtection="1">
      <protection locked="0"/>
    </xf>
    <xf numFmtId="164" fontId="1" fillId="6" borderId="46" xfId="0" applyNumberFormat="1" applyFont="1" applyFill="1" applyBorder="1" applyProtection="1">
      <protection locked="0"/>
    </xf>
    <xf numFmtId="164" fontId="1" fillId="6" borderId="1" xfId="0" applyNumberFormat="1" applyFont="1" applyFill="1" applyBorder="1" applyProtection="1">
      <protection locked="0"/>
    </xf>
    <xf numFmtId="164" fontId="1" fillId="6" borderId="43" xfId="0" applyNumberFormat="1" applyFont="1" applyFill="1" applyBorder="1" applyProtection="1">
      <protection locked="0"/>
    </xf>
    <xf numFmtId="164" fontId="1" fillId="6" borderId="36" xfId="0" applyNumberFormat="1" applyFont="1" applyFill="1" applyBorder="1" applyProtection="1">
      <protection locked="0"/>
    </xf>
    <xf numFmtId="164" fontId="1" fillId="6" borderId="42" xfId="0" applyNumberFormat="1" applyFont="1" applyFill="1" applyBorder="1" applyProtection="1">
      <protection locked="0"/>
    </xf>
    <xf numFmtId="0" fontId="1" fillId="9" borderId="20" xfId="0" applyFont="1" applyFill="1" applyBorder="1" applyProtection="1"/>
    <xf numFmtId="0" fontId="1" fillId="9" borderId="5" xfId="0" applyFont="1" applyFill="1" applyBorder="1" applyProtection="1"/>
    <xf numFmtId="0" fontId="1" fillId="9" borderId="8" xfId="0" applyFont="1" applyFill="1" applyBorder="1" applyProtection="1"/>
    <xf numFmtId="0" fontId="5" fillId="9" borderId="8" xfId="0" applyFont="1" applyFill="1" applyBorder="1" applyProtection="1"/>
    <xf numFmtId="0" fontId="4" fillId="7" borderId="22" xfId="0" applyFont="1" applyFill="1" applyBorder="1" applyProtection="1"/>
    <xf numFmtId="164" fontId="4" fillId="9" borderId="22" xfId="0" applyNumberFormat="1" applyFont="1" applyFill="1" applyBorder="1" applyProtection="1"/>
    <xf numFmtId="164" fontId="1" fillId="9" borderId="61" xfId="0" applyNumberFormat="1" applyFont="1" applyFill="1" applyBorder="1" applyProtection="1"/>
    <xf numFmtId="164" fontId="4" fillId="7" borderId="3" xfId="0" applyNumberFormat="1" applyFont="1" applyFill="1" applyBorder="1" applyProtection="1"/>
    <xf numFmtId="164" fontId="1" fillId="9" borderId="3" xfId="0" applyNumberFormat="1" applyFont="1" applyFill="1" applyBorder="1" applyProtection="1"/>
    <xf numFmtId="164" fontId="4" fillId="7" borderId="62" xfId="0" applyNumberFormat="1" applyFont="1" applyFill="1" applyBorder="1" applyProtection="1"/>
    <xf numFmtId="164" fontId="4" fillId="7" borderId="31" xfId="0" applyNumberFormat="1" applyFont="1" applyFill="1" applyBorder="1" applyProtection="1"/>
    <xf numFmtId="164" fontId="4" fillId="6" borderId="30" xfId="0" applyNumberFormat="1" applyFont="1" applyFill="1" applyBorder="1" applyProtection="1"/>
    <xf numFmtId="164" fontId="4" fillId="6" borderId="33" xfId="0" applyNumberFormat="1" applyFont="1" applyFill="1" applyBorder="1" applyProtection="1"/>
    <xf numFmtId="164" fontId="4" fillId="6" borderId="31" xfId="0" applyNumberFormat="1" applyFont="1" applyFill="1" applyBorder="1" applyProtection="1"/>
    <xf numFmtId="164" fontId="1" fillId="9" borderId="57" xfId="0" applyNumberFormat="1" applyFont="1" applyFill="1" applyBorder="1" applyProtection="1"/>
    <xf numFmtId="164" fontId="1" fillId="9" borderId="4" xfId="0" applyNumberFormat="1" applyFont="1" applyFill="1" applyBorder="1" applyProtection="1"/>
    <xf numFmtId="164" fontId="1" fillId="9" borderId="60" xfId="0" applyNumberFormat="1" applyFont="1" applyFill="1" applyBorder="1" applyProtection="1"/>
    <xf numFmtId="164" fontId="1" fillId="9" borderId="2" xfId="0" applyNumberFormat="1" applyFont="1" applyFill="1" applyBorder="1" applyProtection="1"/>
    <xf numFmtId="164" fontId="1" fillId="9" borderId="1" xfId="0" applyNumberFormat="1" applyFont="1" applyFill="1" applyBorder="1" applyProtection="1"/>
    <xf numFmtId="164" fontId="1" fillId="9" borderId="36" xfId="0" applyNumberFormat="1" applyFont="1" applyFill="1" applyBorder="1" applyProtection="1"/>
    <xf numFmtId="0" fontId="4" fillId="2" borderId="0" xfId="0" applyFont="1" applyFill="1" applyProtection="1"/>
    <xf numFmtId="0" fontId="4" fillId="7" borderId="34" xfId="0" applyFont="1" applyFill="1" applyBorder="1" applyProtection="1"/>
    <xf numFmtId="164" fontId="4" fillId="9" borderId="11" xfId="0" applyNumberFormat="1" applyFont="1" applyFill="1" applyBorder="1" applyProtection="1"/>
    <xf numFmtId="164" fontId="1" fillId="9" borderId="23" xfId="0" applyNumberFormat="1" applyFont="1" applyFill="1" applyBorder="1" applyProtection="1"/>
    <xf numFmtId="164" fontId="4" fillId="7" borderId="22" xfId="0" applyNumberFormat="1" applyFont="1" applyFill="1" applyBorder="1" applyProtection="1"/>
    <xf numFmtId="0" fontId="4" fillId="0" borderId="0" xfId="0" applyFont="1" applyProtection="1"/>
    <xf numFmtId="164" fontId="1" fillId="9" borderId="16" xfId="0" applyNumberFormat="1" applyFont="1" applyFill="1" applyBorder="1" applyProtection="1"/>
    <xf numFmtId="164" fontId="1" fillId="3" borderId="51" xfId="0" applyNumberFormat="1" applyFont="1" applyFill="1" applyBorder="1" applyProtection="1">
      <protection locked="0"/>
    </xf>
    <xf numFmtId="164" fontId="1" fillId="3" borderId="53" xfId="0" applyNumberFormat="1" applyFont="1" applyFill="1" applyBorder="1" applyProtection="1">
      <protection locked="0"/>
    </xf>
    <xf numFmtId="164" fontId="1" fillId="3" borderId="52" xfId="0" applyNumberFormat="1" applyFont="1" applyFill="1" applyBorder="1" applyProtection="1">
      <protection locked="0"/>
    </xf>
    <xf numFmtId="164" fontId="1" fillId="3" borderId="54" xfId="0" applyNumberFormat="1" applyFont="1" applyFill="1" applyBorder="1" applyProtection="1">
      <protection locked="0"/>
    </xf>
    <xf numFmtId="164" fontId="1" fillId="3" borderId="56" xfId="0" applyNumberFormat="1" applyFont="1" applyFill="1" applyBorder="1" applyProtection="1">
      <protection locked="0"/>
    </xf>
    <xf numFmtId="164" fontId="1" fillId="3" borderId="49" xfId="0" applyNumberFormat="1" applyFont="1" applyFill="1" applyBorder="1" applyProtection="1">
      <protection locked="0"/>
    </xf>
    <xf numFmtId="164" fontId="1" fillId="3" borderId="6" xfId="0" applyNumberFormat="1" applyFont="1" applyFill="1" applyBorder="1" applyProtection="1">
      <protection locked="0"/>
    </xf>
    <xf numFmtId="0" fontId="5" fillId="3" borderId="8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5" fontId="1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65" fontId="1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2" fillId="0" borderId="9" xfId="0" applyFont="1" applyBorder="1"/>
    <xf numFmtId="0" fontId="1" fillId="0" borderId="1" xfId="0" applyFont="1" applyBorder="1"/>
    <xf numFmtId="0" fontId="1" fillId="0" borderId="1" xfId="0" applyFont="1" applyBorder="1" applyAlignment="1">
      <alignment vertical="top"/>
    </xf>
    <xf numFmtId="164" fontId="1" fillId="3" borderId="30" xfId="0" applyNumberFormat="1" applyFont="1" applyFill="1" applyBorder="1" applyAlignment="1">
      <alignment horizontal="center"/>
    </xf>
    <xf numFmtId="164" fontId="1" fillId="3" borderId="31" xfId="0" applyNumberFormat="1" applyFont="1" applyFill="1" applyBorder="1" applyAlignment="1">
      <alignment horizontal="center"/>
    </xf>
    <xf numFmtId="164" fontId="1" fillId="3" borderId="51" xfId="0" applyNumberFormat="1" applyFont="1" applyFill="1" applyBorder="1" applyAlignment="1" applyProtection="1">
      <alignment horizontal="center"/>
      <protection locked="0"/>
    </xf>
    <xf numFmtId="164" fontId="1" fillId="3" borderId="52" xfId="0" applyNumberFormat="1" applyFont="1" applyFill="1" applyBorder="1" applyAlignment="1" applyProtection="1">
      <alignment horizontal="center"/>
      <protection locked="0"/>
    </xf>
    <xf numFmtId="164" fontId="1" fillId="3" borderId="13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3" borderId="41" xfId="0" applyNumberFormat="1" applyFont="1" applyFill="1" applyBorder="1" applyAlignment="1">
      <alignment horizontal="center"/>
    </xf>
    <xf numFmtId="164" fontId="1" fillId="3" borderId="44" xfId="0" applyNumberFormat="1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 wrapText="1"/>
    </xf>
    <xf numFmtId="0" fontId="1" fillId="3" borderId="44" xfId="0" applyFont="1" applyFill="1" applyBorder="1" applyAlignment="1">
      <alignment horizontal="center" wrapText="1"/>
    </xf>
    <xf numFmtId="0" fontId="1" fillId="3" borderId="30" xfId="0" applyFont="1" applyFill="1" applyBorder="1" applyAlignment="1">
      <alignment horizontal="center" wrapText="1"/>
    </xf>
    <xf numFmtId="0" fontId="1" fillId="3" borderId="31" xfId="0" applyFont="1" applyFill="1" applyBorder="1" applyAlignment="1">
      <alignment horizontal="center" wrapText="1"/>
    </xf>
    <xf numFmtId="0" fontId="1" fillId="3" borderId="51" xfId="0" applyFont="1" applyFill="1" applyBorder="1" applyAlignment="1" applyProtection="1">
      <alignment horizontal="center" wrapText="1"/>
      <protection locked="0"/>
    </xf>
    <xf numFmtId="0" fontId="1" fillId="3" borderId="52" xfId="0" applyFont="1" applyFill="1" applyBorder="1" applyAlignment="1" applyProtection="1">
      <alignment horizontal="center" wrapText="1"/>
      <protection locked="0"/>
    </xf>
    <xf numFmtId="164" fontId="1" fillId="3" borderId="25" xfId="0" applyNumberFormat="1" applyFont="1" applyFill="1" applyBorder="1" applyAlignment="1">
      <alignment horizontal="center"/>
    </xf>
    <xf numFmtId="164" fontId="1" fillId="3" borderId="26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2" fillId="0" borderId="9" xfId="0" applyFont="1" applyBorder="1"/>
    <xf numFmtId="0" fontId="2" fillId="0" borderId="38" xfId="0" applyFont="1" applyBorder="1"/>
    <xf numFmtId="0" fontId="1" fillId="3" borderId="25" xfId="0" applyFont="1" applyFill="1" applyBorder="1" applyAlignment="1">
      <alignment horizontal="center" wrapText="1"/>
    </xf>
    <xf numFmtId="0" fontId="1" fillId="3" borderId="26" xfId="0" applyFont="1" applyFill="1" applyBorder="1" applyAlignment="1">
      <alignment horizontal="center" wrapText="1"/>
    </xf>
    <xf numFmtId="0" fontId="1" fillId="9" borderId="13" xfId="0" applyFont="1" applyFill="1" applyBorder="1" applyAlignment="1">
      <alignment horizontal="center" wrapText="1"/>
    </xf>
    <xf numFmtId="0" fontId="1" fillId="9" borderId="15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0" fontId="1" fillId="6" borderId="13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/>
    </xf>
    <xf numFmtId="0" fontId="1" fillId="9" borderId="45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0" fontId="1" fillId="9" borderId="26" xfId="0" applyFont="1" applyFill="1" applyBorder="1" applyAlignment="1">
      <alignment horizontal="center"/>
    </xf>
    <xf numFmtId="0" fontId="1" fillId="9" borderId="13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29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 wrapText="1"/>
    </xf>
    <xf numFmtId="0" fontId="1" fillId="9" borderId="29" xfId="0" applyFont="1" applyFill="1" applyBorder="1" applyAlignment="1">
      <alignment horizontal="center" wrapText="1"/>
    </xf>
    <xf numFmtId="0" fontId="4" fillId="6" borderId="30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 wrapText="1"/>
    </xf>
    <xf numFmtId="0" fontId="4" fillId="6" borderId="45" xfId="0" applyFont="1" applyFill="1" applyBorder="1" applyAlignment="1">
      <alignment horizontal="center" wrapText="1"/>
    </xf>
    <xf numFmtId="0" fontId="1" fillId="6" borderId="58" xfId="0" applyFont="1" applyFill="1" applyBorder="1" applyAlignment="1">
      <alignment horizontal="center" wrapText="1"/>
    </xf>
    <xf numFmtId="0" fontId="1" fillId="6" borderId="59" xfId="0" applyFont="1" applyFill="1" applyBorder="1" applyAlignment="1">
      <alignment horizontal="center" wrapText="1"/>
    </xf>
    <xf numFmtId="0" fontId="1" fillId="6" borderId="41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 wrapText="1"/>
    </xf>
    <xf numFmtId="0" fontId="1" fillId="9" borderId="31" xfId="0" applyFont="1" applyFill="1" applyBorder="1" applyAlignment="1">
      <alignment horizontal="center" wrapText="1"/>
    </xf>
    <xf numFmtId="0" fontId="1" fillId="9" borderId="12" xfId="0" applyFont="1" applyFill="1" applyBorder="1" applyAlignment="1">
      <alignment horizontal="center" wrapText="1"/>
    </xf>
    <xf numFmtId="0" fontId="1" fillId="9" borderId="14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Border="1" applyAlignment="1">
      <alignment horizontal="right"/>
    </xf>
    <xf numFmtId="0" fontId="1" fillId="0" borderId="43" xfId="0" applyFont="1" applyBorder="1"/>
    <xf numFmtId="0" fontId="1" fillId="0" borderId="28" xfId="0" applyFont="1" applyBorder="1"/>
    <xf numFmtId="0" fontId="1" fillId="0" borderId="1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1" fillId="0" borderId="1" xfId="0" applyFont="1" applyBorder="1" applyAlignment="1">
      <alignment vertical="top"/>
    </xf>
    <xf numFmtId="0" fontId="8" fillId="0" borderId="34" xfId="0" applyFont="1" applyFill="1" applyBorder="1" applyAlignment="1" applyProtection="1">
      <alignment horizontal="center" wrapText="1"/>
      <protection hidden="1"/>
    </xf>
    <xf numFmtId="0" fontId="8" fillId="0" borderId="49" xfId="0" applyFont="1" applyFill="1" applyBorder="1" applyAlignment="1" applyProtection="1">
      <alignment horizontal="center" wrapText="1"/>
      <protection hidden="1"/>
    </xf>
    <xf numFmtId="0" fontId="8" fillId="0" borderId="34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opLeftCell="A7" workbookViewId="0">
      <selection activeCell="C26" sqref="C26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customHeight="1" x14ac:dyDescent="0.2">
      <c r="A2" s="1"/>
      <c r="B2" s="177" t="s">
        <v>118</v>
      </c>
      <c r="C2" s="178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1"/>
    </row>
    <row r="3" spans="1:18" ht="9.9499999999999993" customHeight="1" thickBot="1" x14ac:dyDescent="0.25">
      <c r="A3" s="1"/>
      <c r="B3" s="2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3"/>
      <c r="R3" s="1"/>
    </row>
    <row r="4" spans="1:18" ht="30.75" thickBot="1" x14ac:dyDescent="0.25">
      <c r="A4" s="1"/>
      <c r="B4" s="22"/>
      <c r="C4" s="42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14</v>
      </c>
      <c r="P4" s="11" t="s">
        <v>15</v>
      </c>
      <c r="Q4" s="11" t="s">
        <v>48</v>
      </c>
      <c r="R4" s="1"/>
    </row>
    <row r="5" spans="1:18" x14ac:dyDescent="0.2">
      <c r="A5" s="1"/>
      <c r="B5" s="8" t="s">
        <v>1</v>
      </c>
      <c r="C5" s="169"/>
      <c r="D5" s="179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67"/>
      <c r="P5" s="169"/>
      <c r="Q5" s="171"/>
      <c r="R5" s="1"/>
    </row>
    <row r="6" spans="1:18" s="3" customFormat="1" ht="9.9499999999999993" customHeight="1" thickBot="1" x14ac:dyDescent="0.25">
      <c r="A6" s="4"/>
      <c r="B6" s="9"/>
      <c r="C6" s="170"/>
      <c r="D6" s="180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68"/>
      <c r="P6" s="170"/>
      <c r="Q6" s="172"/>
      <c r="R6" s="4"/>
    </row>
    <row r="7" spans="1:18" x14ac:dyDescent="0.2">
      <c r="A7" s="1"/>
      <c r="B7" s="12" t="s">
        <v>65</v>
      </c>
      <c r="C7" s="93">
        <v>5822418</v>
      </c>
      <c r="D7" s="88">
        <v>468962</v>
      </c>
      <c r="E7" s="94">
        <v>477383</v>
      </c>
      <c r="F7" s="94">
        <v>499617</v>
      </c>
      <c r="G7" s="94">
        <v>467373</v>
      </c>
      <c r="H7" s="94">
        <f>336704+130669+29452</f>
        <v>496825</v>
      </c>
      <c r="I7" s="94">
        <f t="shared" ref="I7:M7" si="0">336704+130669</f>
        <v>467373</v>
      </c>
      <c r="J7" s="94">
        <f>336704+130669+18907</f>
        <v>486280</v>
      </c>
      <c r="K7" s="94">
        <f>336704+130669+29452+6246</f>
        <v>503071</v>
      </c>
      <c r="L7" s="94">
        <f>336704+130669+34422</f>
        <v>501795</v>
      </c>
      <c r="M7" s="94">
        <f t="shared" si="0"/>
        <v>467373</v>
      </c>
      <c r="N7" s="94">
        <f>336704+130669+29452+24064</f>
        <v>520889</v>
      </c>
      <c r="O7" s="94">
        <f>336704+130669-1896</f>
        <v>465477</v>
      </c>
      <c r="P7" s="99">
        <f>SUM(D7:O7)</f>
        <v>5822418</v>
      </c>
      <c r="Q7" s="134">
        <v>1</v>
      </c>
      <c r="R7" s="1"/>
    </row>
    <row r="8" spans="1:18" s="3" customFormat="1" ht="9.9499999999999993" customHeight="1" x14ac:dyDescent="0.2">
      <c r="A8" s="4"/>
      <c r="B8" s="5"/>
      <c r="C8" s="87"/>
      <c r="D8" s="88"/>
      <c r="E8" s="89"/>
      <c r="F8" s="89"/>
      <c r="G8" s="89"/>
      <c r="H8" s="89"/>
      <c r="I8" s="89"/>
      <c r="J8" s="89"/>
      <c r="K8" s="89"/>
      <c r="L8" s="89"/>
      <c r="M8" s="89"/>
      <c r="N8" s="89"/>
      <c r="O8" s="90"/>
      <c r="P8" s="92"/>
      <c r="Q8" s="135"/>
      <c r="R8" s="4"/>
    </row>
    <row r="9" spans="1:18" x14ac:dyDescent="0.2">
      <c r="A9" s="1"/>
      <c r="B9" s="7" t="s">
        <v>66</v>
      </c>
      <c r="C9" s="87">
        <v>397193</v>
      </c>
      <c r="D9" s="88"/>
      <c r="E9" s="89">
        <v>20887</v>
      </c>
      <c r="F9" s="89"/>
      <c r="G9" s="89">
        <v>3684</v>
      </c>
      <c r="H9" s="89"/>
      <c r="I9" s="89">
        <f>15177</f>
        <v>15177</v>
      </c>
      <c r="J9" s="89">
        <f>6375</f>
        <v>6375</v>
      </c>
      <c r="K9" s="89"/>
      <c r="L9" s="89">
        <f>310975</f>
        <v>310975</v>
      </c>
      <c r="M9" s="89">
        <f>10625</f>
        <v>10625</v>
      </c>
      <c r="N9" s="89">
        <f>25305+4165</f>
        <v>29470</v>
      </c>
      <c r="O9" s="90"/>
      <c r="P9" s="92">
        <f>SUM(D9:O9)</f>
        <v>397193</v>
      </c>
      <c r="Q9" s="135">
        <v>2</v>
      </c>
      <c r="R9" s="1"/>
    </row>
    <row r="10" spans="1:18" s="3" customFormat="1" ht="9.9499999999999993" customHeight="1" x14ac:dyDescent="0.2">
      <c r="A10" s="4"/>
      <c r="B10" s="5"/>
      <c r="C10" s="87"/>
      <c r="D10" s="88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90"/>
      <c r="P10" s="92"/>
      <c r="Q10" s="135"/>
      <c r="R10" s="4"/>
    </row>
    <row r="11" spans="1:18" x14ac:dyDescent="0.2">
      <c r="A11" s="1"/>
      <c r="B11" s="7" t="s">
        <v>16</v>
      </c>
      <c r="C11" s="87">
        <v>165000</v>
      </c>
      <c r="D11" s="88">
        <v>11708</v>
      </c>
      <c r="E11" s="88">
        <v>14235</v>
      </c>
      <c r="F11" s="88">
        <v>26354</v>
      </c>
      <c r="G11" s="88">
        <v>9357.5</v>
      </c>
      <c r="H11" s="88">
        <v>12918</v>
      </c>
      <c r="I11" s="88">
        <v>12918</v>
      </c>
      <c r="J11" s="88">
        <v>12918</v>
      </c>
      <c r="K11" s="88">
        <v>12918</v>
      </c>
      <c r="L11" s="88">
        <v>12918</v>
      </c>
      <c r="M11" s="88">
        <v>12918</v>
      </c>
      <c r="N11" s="88">
        <v>12918</v>
      </c>
      <c r="O11" s="88">
        <v>12919</v>
      </c>
      <c r="P11" s="92">
        <f>SUM(D11:O11)</f>
        <v>164999.5</v>
      </c>
      <c r="Q11" s="135"/>
      <c r="R11" s="1"/>
    </row>
    <row r="12" spans="1:18" s="3" customFormat="1" ht="9.9499999999999993" customHeight="1" x14ac:dyDescent="0.2">
      <c r="A12" s="4"/>
      <c r="B12" s="5"/>
      <c r="C12" s="87"/>
      <c r="D12" s="88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92"/>
      <c r="Q12" s="135"/>
      <c r="R12" s="4"/>
    </row>
    <row r="13" spans="1:18" x14ac:dyDescent="0.2">
      <c r="A13" s="1"/>
      <c r="B13" s="7" t="s">
        <v>17</v>
      </c>
      <c r="C13" s="87">
        <v>125884</v>
      </c>
      <c r="D13" s="88">
        <v>26514</v>
      </c>
      <c r="E13" s="89">
        <v>49609</v>
      </c>
      <c r="F13" s="89">
        <v>27079</v>
      </c>
      <c r="G13" s="89">
        <v>22682</v>
      </c>
      <c r="H13" s="89"/>
      <c r="I13" s="89"/>
      <c r="J13" s="89"/>
      <c r="K13" s="89"/>
      <c r="L13" s="89"/>
      <c r="M13" s="89"/>
      <c r="N13" s="89"/>
      <c r="O13" s="90"/>
      <c r="P13" s="92">
        <f>SUM(D13:O13)</f>
        <v>125884</v>
      </c>
      <c r="Q13" s="135"/>
      <c r="R13" s="1"/>
    </row>
    <row r="14" spans="1:18" s="3" customFormat="1" ht="9.9499999999999993" customHeight="1" x14ac:dyDescent="0.2">
      <c r="A14" s="4"/>
      <c r="B14" s="5"/>
      <c r="C14" s="87"/>
      <c r="D14" s="88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92"/>
      <c r="Q14" s="135"/>
      <c r="R14" s="4"/>
    </row>
    <row r="15" spans="1:18" x14ac:dyDescent="0.2">
      <c r="A15" s="1"/>
      <c r="B15" s="7" t="s">
        <v>18</v>
      </c>
      <c r="C15" s="87">
        <v>118658</v>
      </c>
      <c r="D15" s="88">
        <v>24495</v>
      </c>
      <c r="E15" s="88">
        <v>8735</v>
      </c>
      <c r="F15" s="88">
        <v>28615</v>
      </c>
      <c r="G15" s="88">
        <v>24443</v>
      </c>
      <c r="H15" s="88">
        <v>1070</v>
      </c>
      <c r="I15" s="88">
        <v>1070</v>
      </c>
      <c r="J15" s="88">
        <v>1070</v>
      </c>
      <c r="K15" s="88">
        <v>1070</v>
      </c>
      <c r="L15" s="88">
        <v>1070</v>
      </c>
      <c r="M15" s="88">
        <f>1070+23800</f>
        <v>24870</v>
      </c>
      <c r="N15" s="88">
        <v>1070</v>
      </c>
      <c r="O15" s="88">
        <v>1080</v>
      </c>
      <c r="P15" s="92">
        <f>SUM(D15:O15)</f>
        <v>118658</v>
      </c>
      <c r="Q15" s="135">
        <v>3</v>
      </c>
      <c r="R15" s="1"/>
    </row>
    <row r="16" spans="1:18" s="3" customFormat="1" ht="9.9499999999999993" customHeight="1" x14ac:dyDescent="0.2">
      <c r="A16" s="4"/>
      <c r="B16" s="5"/>
      <c r="C16" s="87"/>
      <c r="D16" s="88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92"/>
      <c r="Q16" s="135"/>
      <c r="R16" s="4"/>
    </row>
    <row r="17" spans="1:18" x14ac:dyDescent="0.2">
      <c r="A17" s="1"/>
      <c r="B17" s="141" t="s">
        <v>19</v>
      </c>
      <c r="C17" s="87">
        <v>0</v>
      </c>
      <c r="D17" s="88"/>
      <c r="E17" s="88"/>
      <c r="F17" s="88"/>
      <c r="G17" s="88"/>
      <c r="H17" s="88"/>
      <c r="I17" s="89"/>
      <c r="J17" s="89"/>
      <c r="K17" s="89"/>
      <c r="L17" s="89"/>
      <c r="M17" s="89"/>
      <c r="N17" s="89"/>
      <c r="O17" s="90"/>
      <c r="P17" s="92">
        <f>SUM(D17:O17)</f>
        <v>0</v>
      </c>
      <c r="Q17" s="135"/>
      <c r="R17" s="1"/>
    </row>
    <row r="18" spans="1:18" x14ac:dyDescent="0.2">
      <c r="A18" s="1"/>
      <c r="B18" s="141" t="s">
        <v>19</v>
      </c>
      <c r="C18" s="87">
        <v>0</v>
      </c>
      <c r="D18" s="88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92">
        <f>SUM(D18:O18)</f>
        <v>0</v>
      </c>
      <c r="Q18" s="135"/>
      <c r="R18" s="1"/>
    </row>
    <row r="19" spans="1:18" s="3" customFormat="1" ht="9.9499999999999993" customHeight="1" x14ac:dyDescent="0.2">
      <c r="A19" s="4"/>
      <c r="B19" s="5"/>
      <c r="C19" s="87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92"/>
      <c r="Q19" s="135"/>
      <c r="R19" s="4"/>
    </row>
    <row r="20" spans="1:18" ht="15.75" thickBot="1" x14ac:dyDescent="0.25">
      <c r="A20" s="1"/>
      <c r="B20" s="7" t="s">
        <v>20</v>
      </c>
      <c r="C20" s="95">
        <v>33137</v>
      </c>
      <c r="D20" s="96">
        <v>378</v>
      </c>
      <c r="E20" s="97">
        <v>20018</v>
      </c>
      <c r="F20" s="97">
        <v>12741</v>
      </c>
      <c r="G20" s="97"/>
      <c r="H20" s="97"/>
      <c r="I20" s="97"/>
      <c r="J20" s="97"/>
      <c r="K20" s="97"/>
      <c r="L20" s="97"/>
      <c r="M20" s="97"/>
      <c r="N20" s="97"/>
      <c r="O20" s="98"/>
      <c r="P20" s="100">
        <f>SUM(D20:O20)</f>
        <v>33137</v>
      </c>
      <c r="Q20" s="136">
        <v>4</v>
      </c>
      <c r="R20" s="1"/>
    </row>
    <row r="21" spans="1:18" ht="15.75" thickBot="1" x14ac:dyDescent="0.25">
      <c r="A21" s="1"/>
      <c r="B21" s="70" t="s">
        <v>21</v>
      </c>
      <c r="C21" s="72">
        <f>SUM(C7:C20)</f>
        <v>6662290</v>
      </c>
      <c r="D21" s="73">
        <f t="shared" ref="D21:O21" si="1">SUM(D7:D20)</f>
        <v>532057</v>
      </c>
      <c r="E21" s="73">
        <f t="shared" si="1"/>
        <v>590867</v>
      </c>
      <c r="F21" s="73">
        <f t="shared" si="1"/>
        <v>594406</v>
      </c>
      <c r="G21" s="73">
        <f t="shared" si="1"/>
        <v>527539.5</v>
      </c>
      <c r="H21" s="73">
        <f t="shared" si="1"/>
        <v>510813</v>
      </c>
      <c r="I21" s="73">
        <f t="shared" si="1"/>
        <v>496538</v>
      </c>
      <c r="J21" s="73">
        <f t="shared" si="1"/>
        <v>506643</v>
      </c>
      <c r="K21" s="73">
        <f t="shared" si="1"/>
        <v>517059</v>
      </c>
      <c r="L21" s="73">
        <f t="shared" si="1"/>
        <v>826758</v>
      </c>
      <c r="M21" s="73">
        <f t="shared" si="1"/>
        <v>515786</v>
      </c>
      <c r="N21" s="73">
        <f t="shared" si="1"/>
        <v>564347</v>
      </c>
      <c r="O21" s="74">
        <f t="shared" si="1"/>
        <v>479476</v>
      </c>
      <c r="P21" s="72">
        <f>SUM(D21:O21)</f>
        <v>6662289.5</v>
      </c>
      <c r="Q21" s="137"/>
      <c r="R21" s="1"/>
    </row>
    <row r="22" spans="1:18" ht="9.9499999999999993" customHeight="1" thickBot="1" x14ac:dyDescent="0.25">
      <c r="A22" s="1"/>
      <c r="B22" s="2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6"/>
      <c r="Q22" s="26"/>
      <c r="R22" s="1"/>
    </row>
    <row r="23" spans="1:18" ht="30.75" thickBot="1" x14ac:dyDescent="0.25">
      <c r="A23" s="1"/>
      <c r="B23" s="27"/>
      <c r="C23" s="43" t="s">
        <v>2</v>
      </c>
      <c r="D23" s="41" t="s">
        <v>3</v>
      </c>
      <c r="E23" s="10" t="s">
        <v>4</v>
      </c>
      <c r="F23" s="10" t="s">
        <v>5</v>
      </c>
      <c r="G23" s="10" t="s">
        <v>6</v>
      </c>
      <c r="H23" s="10" t="s">
        <v>7</v>
      </c>
      <c r="I23" s="10" t="s">
        <v>8</v>
      </c>
      <c r="J23" s="10" t="s">
        <v>9</v>
      </c>
      <c r="K23" s="10" t="s">
        <v>10</v>
      </c>
      <c r="L23" s="10" t="s">
        <v>11</v>
      </c>
      <c r="M23" s="10" t="s">
        <v>12</v>
      </c>
      <c r="N23" s="10" t="s">
        <v>13</v>
      </c>
      <c r="O23" s="10" t="s">
        <v>14</v>
      </c>
      <c r="P23" s="11" t="s">
        <v>15</v>
      </c>
      <c r="Q23" s="11" t="s">
        <v>48</v>
      </c>
      <c r="R23" s="1"/>
    </row>
    <row r="24" spans="1:18" x14ac:dyDescent="0.2">
      <c r="A24" s="1"/>
      <c r="B24" s="13" t="s">
        <v>22</v>
      </c>
      <c r="C24" s="159"/>
      <c r="D24" s="17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5"/>
      <c r="P24" s="159"/>
      <c r="Q24" s="161"/>
      <c r="R24" s="1"/>
    </row>
    <row r="25" spans="1:18" ht="9.9499999999999993" customHeight="1" thickBot="1" x14ac:dyDescent="0.25">
      <c r="A25" s="1"/>
      <c r="B25" s="6"/>
      <c r="C25" s="160"/>
      <c r="D25" s="17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6"/>
      <c r="P25" s="160"/>
      <c r="Q25" s="162"/>
      <c r="R25" s="1"/>
    </row>
    <row r="26" spans="1:18" x14ac:dyDescent="0.2">
      <c r="A26" s="1"/>
      <c r="B26" s="14" t="s">
        <v>23</v>
      </c>
      <c r="C26" s="85">
        <v>5540985</v>
      </c>
      <c r="D26" s="86">
        <v>427160</v>
      </c>
      <c r="E26" s="86">
        <v>457990</v>
      </c>
      <c r="F26" s="86">
        <v>460073</v>
      </c>
      <c r="G26" s="86">
        <v>575423</v>
      </c>
      <c r="H26" s="86">
        <v>452542</v>
      </c>
      <c r="I26" s="86">
        <v>452542</v>
      </c>
      <c r="J26" s="86">
        <v>452542</v>
      </c>
      <c r="K26" s="86">
        <v>452542</v>
      </c>
      <c r="L26" s="86">
        <v>452542</v>
      </c>
      <c r="M26" s="86">
        <v>452542</v>
      </c>
      <c r="N26" s="86">
        <v>452542</v>
      </c>
      <c r="O26" s="86">
        <v>452545</v>
      </c>
      <c r="P26" s="91">
        <f>SUM(D26:O26)</f>
        <v>5540985</v>
      </c>
      <c r="Q26" s="138">
        <v>5</v>
      </c>
      <c r="R26" s="1"/>
    </row>
    <row r="27" spans="1:18" ht="9.9499999999999993" customHeight="1" x14ac:dyDescent="0.2">
      <c r="A27" s="1"/>
      <c r="B27" s="7"/>
      <c r="C27" s="87"/>
      <c r="D27" s="88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92"/>
      <c r="Q27" s="135"/>
      <c r="R27" s="1"/>
    </row>
    <row r="28" spans="1:18" x14ac:dyDescent="0.2">
      <c r="A28" s="1"/>
      <c r="B28" s="7" t="s">
        <v>25</v>
      </c>
      <c r="C28" s="87">
        <v>117008</v>
      </c>
      <c r="D28" s="88">
        <v>3362</v>
      </c>
      <c r="E28" s="89">
        <v>19237</v>
      </c>
      <c r="F28" s="89">
        <v>22154</v>
      </c>
      <c r="G28" s="89">
        <v>72255</v>
      </c>
      <c r="H28" s="89"/>
      <c r="I28" s="89"/>
      <c r="J28" s="89"/>
      <c r="K28" s="89"/>
      <c r="L28" s="89"/>
      <c r="M28" s="89"/>
      <c r="N28" s="89"/>
      <c r="O28" s="90"/>
      <c r="P28" s="91">
        <f>SUM(D28:O28)</f>
        <v>117008</v>
      </c>
      <c r="Q28" s="135"/>
      <c r="R28" s="1"/>
    </row>
    <row r="29" spans="1:18" ht="9.9499999999999993" customHeight="1" x14ac:dyDescent="0.2">
      <c r="A29" s="1"/>
      <c r="B29" s="7"/>
      <c r="C29" s="87"/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90"/>
      <c r="P29" s="92"/>
      <c r="Q29" s="135"/>
      <c r="R29" s="1"/>
    </row>
    <row r="30" spans="1:18" x14ac:dyDescent="0.2">
      <c r="A30" s="1"/>
      <c r="B30" s="7" t="s">
        <v>24</v>
      </c>
      <c r="C30" s="87">
        <v>1147296</v>
      </c>
      <c r="D30" s="88">
        <v>121681</v>
      </c>
      <c r="E30" s="88">
        <v>82770</v>
      </c>
      <c r="F30" s="88">
        <v>142482</v>
      </c>
      <c r="G30" s="88">
        <f>100420-3463</f>
        <v>96957</v>
      </c>
      <c r="H30" s="88">
        <f>76496+60000</f>
        <v>136496</v>
      </c>
      <c r="I30" s="88">
        <v>76496</v>
      </c>
      <c r="J30" s="88">
        <f>76496+11439</f>
        <v>87935</v>
      </c>
      <c r="K30" s="88">
        <v>76496</v>
      </c>
      <c r="L30" s="88">
        <v>76496</v>
      </c>
      <c r="M30" s="88">
        <f>76496+10000</f>
        <v>86496</v>
      </c>
      <c r="N30" s="88">
        <f>76496+10000</f>
        <v>86496</v>
      </c>
      <c r="O30" s="88">
        <v>76495</v>
      </c>
      <c r="P30" s="91">
        <f>SUM(D30:O30)</f>
        <v>1147296</v>
      </c>
      <c r="Q30" s="135" t="s">
        <v>92</v>
      </c>
      <c r="R30" s="1"/>
    </row>
    <row r="31" spans="1:18" ht="9.9499999999999993" customHeight="1" x14ac:dyDescent="0.2">
      <c r="A31" s="1"/>
      <c r="B31" s="7"/>
      <c r="C31" s="87"/>
      <c r="D31" s="88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  <c r="P31" s="92"/>
      <c r="Q31" s="135"/>
      <c r="R31" s="1"/>
    </row>
    <row r="32" spans="1:18" x14ac:dyDescent="0.2">
      <c r="A32" s="1"/>
      <c r="B32" s="142" t="s">
        <v>33</v>
      </c>
      <c r="C32" s="87">
        <v>11389</v>
      </c>
      <c r="D32" s="88"/>
      <c r="E32" s="89"/>
      <c r="F32" s="89"/>
      <c r="G32" s="89"/>
      <c r="H32" s="89">
        <v>5000</v>
      </c>
      <c r="I32" s="89"/>
      <c r="J32" s="89"/>
      <c r="K32" s="89"/>
      <c r="L32" s="89"/>
      <c r="M32" s="89"/>
      <c r="N32" s="89">
        <v>6389</v>
      </c>
      <c r="O32" s="90"/>
      <c r="P32" s="91">
        <f>SUM(D32:O32)</f>
        <v>11389</v>
      </c>
      <c r="Q32" s="135"/>
      <c r="R32" s="1"/>
    </row>
    <row r="33" spans="1:18" x14ac:dyDescent="0.2">
      <c r="A33" s="1"/>
      <c r="B33" s="142" t="s">
        <v>34</v>
      </c>
      <c r="C33" s="87">
        <v>10547</v>
      </c>
      <c r="D33" s="88"/>
      <c r="E33" s="89"/>
      <c r="F33" s="89"/>
      <c r="G33" s="89"/>
      <c r="H33" s="89"/>
      <c r="I33" s="89">
        <v>10547</v>
      </c>
      <c r="J33" s="89"/>
      <c r="K33" s="89"/>
      <c r="L33" s="89"/>
      <c r="M33" s="89"/>
      <c r="N33" s="89"/>
      <c r="O33" s="90"/>
      <c r="P33" s="91">
        <f>SUM(D33:O33)</f>
        <v>10547</v>
      </c>
      <c r="Q33" s="135"/>
      <c r="R33" s="1"/>
    </row>
    <row r="34" spans="1:18" ht="9.9499999999999993" customHeight="1" x14ac:dyDescent="0.2">
      <c r="A34" s="1"/>
      <c r="B34" s="7"/>
      <c r="C34" s="87"/>
      <c r="D34" s="88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  <c r="P34" s="92"/>
      <c r="Q34" s="135"/>
      <c r="R34" s="1"/>
    </row>
    <row r="35" spans="1:18" x14ac:dyDescent="0.2">
      <c r="A35" s="1"/>
      <c r="B35" s="7" t="s">
        <v>26</v>
      </c>
      <c r="C35" s="87">
        <v>11628</v>
      </c>
      <c r="D35" s="88">
        <v>11628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91">
        <f>SUM(D35:O35)</f>
        <v>11628</v>
      </c>
      <c r="Q35" s="135"/>
      <c r="R35" s="1"/>
    </row>
    <row r="36" spans="1:18" ht="15.75" thickBot="1" x14ac:dyDescent="0.25">
      <c r="A36" s="1"/>
      <c r="B36" s="7" t="s">
        <v>27</v>
      </c>
      <c r="C36" s="87">
        <v>30131</v>
      </c>
      <c r="D36" s="88">
        <v>12309</v>
      </c>
      <c r="E36" s="89">
        <v>1645</v>
      </c>
      <c r="F36" s="89"/>
      <c r="G36" s="89">
        <f>299+130+76+1800+1158</f>
        <v>3463</v>
      </c>
      <c r="H36" s="89">
        <v>9000</v>
      </c>
      <c r="I36" s="89"/>
      <c r="J36" s="89"/>
      <c r="K36" s="89"/>
      <c r="L36" s="89"/>
      <c r="M36" s="89"/>
      <c r="N36" s="89"/>
      <c r="O36" s="90">
        <v>3714</v>
      </c>
      <c r="P36" s="91">
        <f>SUM(D36:O36)</f>
        <v>30131</v>
      </c>
      <c r="Q36" s="135">
        <v>9</v>
      </c>
      <c r="R36" s="1"/>
    </row>
    <row r="37" spans="1:18" ht="15.75" thickBot="1" x14ac:dyDescent="0.25">
      <c r="A37" s="1"/>
      <c r="B37" s="75" t="s">
        <v>29</v>
      </c>
      <c r="C37" s="76">
        <f>SUM(C26:C36)</f>
        <v>6868984</v>
      </c>
      <c r="D37" s="77">
        <f t="shared" ref="D37:O37" si="2">SUM(D26:D36)</f>
        <v>576140</v>
      </c>
      <c r="E37" s="77">
        <f t="shared" si="2"/>
        <v>561642</v>
      </c>
      <c r="F37" s="77">
        <f t="shared" si="2"/>
        <v>624709</v>
      </c>
      <c r="G37" s="77">
        <f t="shared" si="2"/>
        <v>748098</v>
      </c>
      <c r="H37" s="77">
        <f t="shared" si="2"/>
        <v>603038</v>
      </c>
      <c r="I37" s="77">
        <f t="shared" si="2"/>
        <v>539585</v>
      </c>
      <c r="J37" s="77">
        <f t="shared" si="2"/>
        <v>540477</v>
      </c>
      <c r="K37" s="77">
        <f t="shared" si="2"/>
        <v>529038</v>
      </c>
      <c r="L37" s="77">
        <f t="shared" si="2"/>
        <v>529038</v>
      </c>
      <c r="M37" s="77">
        <f t="shared" si="2"/>
        <v>539038</v>
      </c>
      <c r="N37" s="77">
        <f t="shared" si="2"/>
        <v>545427</v>
      </c>
      <c r="O37" s="78">
        <f t="shared" si="2"/>
        <v>532754</v>
      </c>
      <c r="P37" s="76">
        <f>SUM(D37:O37)</f>
        <v>6868984</v>
      </c>
      <c r="Q37" s="139"/>
      <c r="R37" s="1"/>
    </row>
    <row r="38" spans="1:18" ht="9.9499999999999993" customHeight="1" thickBot="1" x14ac:dyDescent="0.25">
      <c r="A38" s="1"/>
      <c r="B38" s="79"/>
      <c r="C38" s="80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3"/>
      <c r="P38" s="80"/>
      <c r="Q38" s="140"/>
      <c r="R38" s="1"/>
    </row>
    <row r="39" spans="1:18" ht="15.75" thickBot="1" x14ac:dyDescent="0.25">
      <c r="A39" s="1"/>
      <c r="B39" s="75" t="s">
        <v>30</v>
      </c>
      <c r="C39" s="76">
        <f>C21-C37</f>
        <v>-206694</v>
      </c>
      <c r="D39" s="76">
        <f t="shared" ref="D39:P39" si="3">D21-D37</f>
        <v>-44083</v>
      </c>
      <c r="E39" s="76">
        <f t="shared" si="3"/>
        <v>29225</v>
      </c>
      <c r="F39" s="76">
        <f t="shared" si="3"/>
        <v>-30303</v>
      </c>
      <c r="G39" s="76">
        <f t="shared" si="3"/>
        <v>-220558.5</v>
      </c>
      <c r="H39" s="76">
        <f t="shared" si="3"/>
        <v>-92225</v>
      </c>
      <c r="I39" s="76">
        <f t="shared" si="3"/>
        <v>-43047</v>
      </c>
      <c r="J39" s="76">
        <f t="shared" si="3"/>
        <v>-33834</v>
      </c>
      <c r="K39" s="76">
        <f t="shared" si="3"/>
        <v>-11979</v>
      </c>
      <c r="L39" s="76">
        <f t="shared" si="3"/>
        <v>297720</v>
      </c>
      <c r="M39" s="76">
        <f t="shared" si="3"/>
        <v>-23252</v>
      </c>
      <c r="N39" s="76">
        <f t="shared" si="3"/>
        <v>18920</v>
      </c>
      <c r="O39" s="76">
        <f t="shared" si="3"/>
        <v>-53278</v>
      </c>
      <c r="P39" s="76">
        <f t="shared" si="3"/>
        <v>-206694.5</v>
      </c>
      <c r="Q39" s="139"/>
      <c r="R39" s="1"/>
    </row>
    <row r="40" spans="1:18" ht="9.9499999999999993" customHeight="1" thickBot="1" x14ac:dyDescent="0.25">
      <c r="A40" s="1"/>
      <c r="B40" s="79"/>
      <c r="C40" s="80"/>
      <c r="D40" s="81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3"/>
      <c r="P40" s="80"/>
      <c r="Q40" s="140"/>
      <c r="R40" s="1"/>
    </row>
    <row r="41" spans="1:18" ht="15.75" thickBot="1" x14ac:dyDescent="0.25">
      <c r="A41" s="1"/>
      <c r="B41" s="75" t="s">
        <v>28</v>
      </c>
      <c r="C41" s="71">
        <v>871620</v>
      </c>
      <c r="D41" s="77">
        <f>C41</f>
        <v>871620</v>
      </c>
      <c r="E41" s="84">
        <f>D41+D39</f>
        <v>827537</v>
      </c>
      <c r="F41" s="84">
        <f t="shared" ref="F41:O41" si="4">E41+E39</f>
        <v>856762</v>
      </c>
      <c r="G41" s="84">
        <f t="shared" si="4"/>
        <v>826459</v>
      </c>
      <c r="H41" s="84">
        <f t="shared" si="4"/>
        <v>605900.5</v>
      </c>
      <c r="I41" s="84">
        <f t="shared" si="4"/>
        <v>513675.5</v>
      </c>
      <c r="J41" s="84">
        <f t="shared" si="4"/>
        <v>470628.5</v>
      </c>
      <c r="K41" s="84">
        <f t="shared" si="4"/>
        <v>436794.5</v>
      </c>
      <c r="L41" s="84">
        <f t="shared" si="4"/>
        <v>424815.5</v>
      </c>
      <c r="M41" s="84">
        <f t="shared" si="4"/>
        <v>722535.5</v>
      </c>
      <c r="N41" s="84">
        <f t="shared" si="4"/>
        <v>699283.5</v>
      </c>
      <c r="O41" s="84">
        <f t="shared" si="4"/>
        <v>718203.5</v>
      </c>
      <c r="P41" s="71"/>
      <c r="Q41" s="139"/>
      <c r="R41" s="1"/>
    </row>
    <row r="42" spans="1:18" ht="9.9499999999999993" customHeight="1" thickBot="1" x14ac:dyDescent="0.25">
      <c r="A42" s="1"/>
      <c r="B42" s="79"/>
      <c r="C42" s="80"/>
      <c r="D42" s="81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  <c r="P42" s="80"/>
      <c r="Q42" s="140"/>
      <c r="R42" s="1"/>
    </row>
    <row r="43" spans="1:18" ht="15.75" thickBot="1" x14ac:dyDescent="0.25">
      <c r="A43" s="1"/>
      <c r="B43" s="75" t="s">
        <v>31</v>
      </c>
      <c r="C43" s="76">
        <f>C41+C39</f>
        <v>664926</v>
      </c>
      <c r="D43" s="76">
        <f t="shared" ref="D43:O43" si="5">D41+D39</f>
        <v>827537</v>
      </c>
      <c r="E43" s="76">
        <f t="shared" si="5"/>
        <v>856762</v>
      </c>
      <c r="F43" s="76">
        <f t="shared" si="5"/>
        <v>826459</v>
      </c>
      <c r="G43" s="76">
        <f t="shared" si="5"/>
        <v>605900.5</v>
      </c>
      <c r="H43" s="76">
        <f t="shared" si="5"/>
        <v>513675.5</v>
      </c>
      <c r="I43" s="76">
        <f t="shared" si="5"/>
        <v>470628.5</v>
      </c>
      <c r="J43" s="76">
        <f t="shared" si="5"/>
        <v>436794.5</v>
      </c>
      <c r="K43" s="76">
        <f t="shared" si="5"/>
        <v>424815.5</v>
      </c>
      <c r="L43" s="76">
        <f t="shared" si="5"/>
        <v>722535.5</v>
      </c>
      <c r="M43" s="76">
        <f t="shared" si="5"/>
        <v>699283.5</v>
      </c>
      <c r="N43" s="76">
        <f t="shared" si="5"/>
        <v>718203.5</v>
      </c>
      <c r="O43" s="76">
        <f t="shared" si="5"/>
        <v>664925.5</v>
      </c>
      <c r="P43" s="76">
        <f>O43</f>
        <v>664925.5</v>
      </c>
      <c r="Q43" s="139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sheetProtection password="9D59" sheet="1" selectLockedCells="1"/>
  <mergeCells count="31">
    <mergeCell ref="B2:C2"/>
    <mergeCell ref="H5:H6"/>
    <mergeCell ref="C5:C6"/>
    <mergeCell ref="D5:D6"/>
    <mergeCell ref="E5:E6"/>
    <mergeCell ref="F5:F6"/>
    <mergeCell ref="G5:G6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P24:P25"/>
    <mergeCell ref="Q24:Q25"/>
    <mergeCell ref="J24:J25"/>
    <mergeCell ref="K24:K25"/>
    <mergeCell ref="L24:L25"/>
    <mergeCell ref="M24:M25"/>
    <mergeCell ref="N24:N25"/>
    <mergeCell ref="O24:O25"/>
  </mergeCells>
  <pageMargins left="0.7" right="0.7" top="0.75" bottom="0.75" header="0.3" footer="0.3"/>
  <pageSetup paperSize="9" scale="8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4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31" sqref="Q31"/>
    </sheetView>
  </sheetViews>
  <sheetFormatPr defaultRowHeight="15" x14ac:dyDescent="0.2"/>
  <cols>
    <col min="1" max="1" width="1.77734375" style="2" customWidth="1"/>
    <col min="2" max="2" width="31.44140625" style="2" customWidth="1"/>
    <col min="3" max="3" width="12.109375" style="2" customWidth="1"/>
    <col min="4" max="27" width="9.77734375" style="2" customWidth="1"/>
    <col min="28" max="28" width="12.109375" style="45" customWidth="1"/>
    <col min="29" max="29" width="1.77734375" style="2" customWidth="1"/>
    <col min="30" max="16384" width="8.88671875" style="2"/>
  </cols>
  <sheetData>
    <row r="1" spans="1:29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4"/>
      <c r="AC1" s="1"/>
    </row>
    <row r="2" spans="1:29" ht="15.75" customHeight="1" x14ac:dyDescent="0.2">
      <c r="A2" s="1"/>
      <c r="B2" s="177" t="s">
        <v>35</v>
      </c>
      <c r="C2" s="178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61"/>
      <c r="AC2" s="1"/>
    </row>
    <row r="3" spans="1:29" ht="15.75" thickBot="1" x14ac:dyDescent="0.25">
      <c r="A3" s="1"/>
      <c r="B3" s="2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62"/>
      <c r="AC3" s="1"/>
    </row>
    <row r="4" spans="1:29" s="17" customFormat="1" ht="29.25" thickBot="1" x14ac:dyDescent="0.25">
      <c r="A4" s="15"/>
      <c r="B4" s="24"/>
      <c r="C4" s="16" t="s">
        <v>2</v>
      </c>
      <c r="D4" s="19" t="s">
        <v>36</v>
      </c>
      <c r="E4" s="58" t="s">
        <v>63</v>
      </c>
      <c r="F4" s="18" t="s">
        <v>37</v>
      </c>
      <c r="G4" s="58" t="s">
        <v>62</v>
      </c>
      <c r="H4" s="18" t="s">
        <v>38</v>
      </c>
      <c r="I4" s="58" t="s">
        <v>51</v>
      </c>
      <c r="J4" s="18" t="s">
        <v>39</v>
      </c>
      <c r="K4" s="58" t="s">
        <v>61</v>
      </c>
      <c r="L4" s="18" t="s">
        <v>40</v>
      </c>
      <c r="M4" s="58" t="s">
        <v>60</v>
      </c>
      <c r="N4" s="18" t="s">
        <v>41</v>
      </c>
      <c r="O4" s="58" t="s">
        <v>59</v>
      </c>
      <c r="P4" s="18" t="s">
        <v>42</v>
      </c>
      <c r="Q4" s="58" t="s">
        <v>58</v>
      </c>
      <c r="R4" s="18" t="s">
        <v>43</v>
      </c>
      <c r="S4" s="58" t="s">
        <v>57</v>
      </c>
      <c r="T4" s="18" t="s">
        <v>44</v>
      </c>
      <c r="U4" s="58" t="s">
        <v>56</v>
      </c>
      <c r="V4" s="18" t="s">
        <v>45</v>
      </c>
      <c r="W4" s="58" t="s">
        <v>55</v>
      </c>
      <c r="X4" s="18" t="s">
        <v>46</v>
      </c>
      <c r="Y4" s="58" t="s">
        <v>54</v>
      </c>
      <c r="Z4" s="18" t="s">
        <v>47</v>
      </c>
      <c r="AA4" s="59" t="s">
        <v>53</v>
      </c>
      <c r="AB4" s="60" t="s">
        <v>52</v>
      </c>
      <c r="AC4" s="15"/>
    </row>
    <row r="5" spans="1:29" x14ac:dyDescent="0.2">
      <c r="A5" s="1"/>
      <c r="B5" s="31" t="s">
        <v>1</v>
      </c>
      <c r="C5" s="205"/>
      <c r="D5" s="207"/>
      <c r="E5" s="183"/>
      <c r="F5" s="181"/>
      <c r="G5" s="183"/>
      <c r="H5" s="195"/>
      <c r="I5" s="183"/>
      <c r="J5" s="181"/>
      <c r="K5" s="183"/>
      <c r="L5" s="181"/>
      <c r="M5" s="183"/>
      <c r="N5" s="195"/>
      <c r="O5" s="183"/>
      <c r="P5" s="195"/>
      <c r="Q5" s="183"/>
      <c r="R5" s="181"/>
      <c r="S5" s="183"/>
      <c r="T5" s="181"/>
      <c r="U5" s="183"/>
      <c r="V5" s="181"/>
      <c r="W5" s="183"/>
      <c r="X5" s="181"/>
      <c r="Y5" s="183"/>
      <c r="Z5" s="181"/>
      <c r="AA5" s="201"/>
      <c r="AB5" s="199"/>
      <c r="AC5" s="1"/>
    </row>
    <row r="6" spans="1:29" s="3" customFormat="1" ht="9.9499999999999993" customHeight="1" thickBot="1" x14ac:dyDescent="0.25">
      <c r="A6" s="4"/>
      <c r="B6" s="32"/>
      <c r="C6" s="206"/>
      <c r="D6" s="208"/>
      <c r="E6" s="184"/>
      <c r="F6" s="182"/>
      <c r="G6" s="184"/>
      <c r="H6" s="196"/>
      <c r="I6" s="184"/>
      <c r="J6" s="182"/>
      <c r="K6" s="184"/>
      <c r="L6" s="182"/>
      <c r="M6" s="184"/>
      <c r="N6" s="196"/>
      <c r="O6" s="184"/>
      <c r="P6" s="196"/>
      <c r="Q6" s="184"/>
      <c r="R6" s="182"/>
      <c r="S6" s="184"/>
      <c r="T6" s="182"/>
      <c r="U6" s="184"/>
      <c r="V6" s="182"/>
      <c r="W6" s="184"/>
      <c r="X6" s="182"/>
      <c r="Y6" s="184"/>
      <c r="Z6" s="182"/>
      <c r="AA6" s="202"/>
      <c r="AB6" s="200"/>
      <c r="AC6" s="4"/>
    </row>
    <row r="7" spans="1:29" x14ac:dyDescent="0.2">
      <c r="A7" s="1"/>
      <c r="B7" s="107" t="s">
        <v>64</v>
      </c>
      <c r="C7" s="57">
        <f>'Forecast - Current'!C7</f>
        <v>5822418</v>
      </c>
      <c r="D7" s="121">
        <f>'Forecast - Current'!D7</f>
        <v>468962</v>
      </c>
      <c r="E7" s="101">
        <f>468962</f>
        <v>468962</v>
      </c>
      <c r="F7" s="124">
        <f>'Forecast - Current'!E7</f>
        <v>477383</v>
      </c>
      <c r="G7" s="101">
        <f>467373+10010</f>
        <v>477383</v>
      </c>
      <c r="H7" s="124">
        <f>'Forecast - Current'!F7</f>
        <v>499617</v>
      </c>
      <c r="I7" s="101">
        <f>467373+32244</f>
        <v>499617</v>
      </c>
      <c r="J7" s="124">
        <f>'Forecast - Current'!G7</f>
        <v>467373</v>
      </c>
      <c r="K7" s="101">
        <f>467373</f>
        <v>467373</v>
      </c>
      <c r="L7" s="124">
        <f>'Forecast - Current'!H7</f>
        <v>496825</v>
      </c>
      <c r="M7" s="101">
        <f>467373+30027</f>
        <v>497400</v>
      </c>
      <c r="N7" s="124">
        <f>'Forecast - Current'!I7</f>
        <v>467373</v>
      </c>
      <c r="O7" s="101">
        <f>60315+467373</f>
        <v>527688</v>
      </c>
      <c r="P7" s="124">
        <f>'Forecast - Current'!J7</f>
        <v>486280</v>
      </c>
      <c r="Q7" s="101">
        <f>477057.03</f>
        <v>477057.03</v>
      </c>
      <c r="R7" s="124">
        <f>'Forecast - Current'!K7</f>
        <v>503071</v>
      </c>
      <c r="S7" s="101"/>
      <c r="T7" s="124">
        <f>'Forecast - Current'!L7</f>
        <v>501795</v>
      </c>
      <c r="U7" s="101"/>
      <c r="V7" s="124">
        <f>'Forecast - Current'!M7</f>
        <v>467373</v>
      </c>
      <c r="W7" s="101"/>
      <c r="X7" s="124">
        <f>'Forecast - Current'!N7</f>
        <v>520889</v>
      </c>
      <c r="Y7" s="101"/>
      <c r="Z7" s="124">
        <f>'Forecast - Current'!O7</f>
        <v>465477</v>
      </c>
      <c r="AA7" s="102"/>
      <c r="AB7" s="118">
        <f>E7+G7+I7+K7+M7+O7+Q7+S7+U7+W7+Y7+AA7</f>
        <v>3415480.0300000003</v>
      </c>
      <c r="AC7" s="1"/>
    </row>
    <row r="8" spans="1:29" s="3" customFormat="1" ht="9.9499999999999993" customHeight="1" x14ac:dyDescent="0.2">
      <c r="A8" s="4"/>
      <c r="B8" s="108"/>
      <c r="C8" s="57"/>
      <c r="D8" s="122"/>
      <c r="E8" s="103"/>
      <c r="F8" s="125"/>
      <c r="G8" s="103"/>
      <c r="H8" s="125"/>
      <c r="I8" s="103"/>
      <c r="J8" s="125"/>
      <c r="K8" s="103"/>
      <c r="L8" s="125"/>
      <c r="M8" s="103"/>
      <c r="N8" s="125"/>
      <c r="O8" s="103"/>
      <c r="P8" s="125"/>
      <c r="Q8" s="103"/>
      <c r="R8" s="125"/>
      <c r="S8" s="103"/>
      <c r="T8" s="125"/>
      <c r="U8" s="103"/>
      <c r="V8" s="125"/>
      <c r="W8" s="103"/>
      <c r="X8" s="125"/>
      <c r="Y8" s="103"/>
      <c r="Z8" s="125"/>
      <c r="AA8" s="104"/>
      <c r="AB8" s="119"/>
      <c r="AC8" s="4"/>
    </row>
    <row r="9" spans="1:29" x14ac:dyDescent="0.2">
      <c r="A9" s="1"/>
      <c r="B9" s="109" t="s">
        <v>32</v>
      </c>
      <c r="C9" s="57">
        <f>'Forecast - Current'!C9</f>
        <v>397193</v>
      </c>
      <c r="D9" s="122">
        <f>'Forecast - Current'!D9</f>
        <v>0</v>
      </c>
      <c r="E9" s="103"/>
      <c r="F9" s="125">
        <f>'Forecast - Current'!E9</f>
        <v>20887</v>
      </c>
      <c r="G9" s="103">
        <f>20887</f>
        <v>20887</v>
      </c>
      <c r="H9" s="125">
        <f>'Forecast - Current'!F9</f>
        <v>0</v>
      </c>
      <c r="I9" s="103"/>
      <c r="J9" s="125">
        <f>'Forecast - Current'!G9</f>
        <v>3684</v>
      </c>
      <c r="K9" s="103">
        <f>3684</f>
        <v>3684</v>
      </c>
      <c r="L9" s="125">
        <f>'Forecast - Current'!H9</f>
        <v>0</v>
      </c>
      <c r="M9" s="103"/>
      <c r="N9" s="125">
        <f>'Forecast - Current'!I9</f>
        <v>15177</v>
      </c>
      <c r="O9" s="103">
        <f>22648+6375+15708</f>
        <v>44731</v>
      </c>
      <c r="P9" s="125">
        <f>'Forecast - Current'!J9</f>
        <v>6375</v>
      </c>
      <c r="Q9" s="103">
        <f>12150+1200</f>
        <v>13350</v>
      </c>
      <c r="R9" s="125">
        <f>'Forecast - Current'!K9</f>
        <v>0</v>
      </c>
      <c r="S9" s="103"/>
      <c r="T9" s="125">
        <f>'Forecast - Current'!L9</f>
        <v>310975</v>
      </c>
      <c r="U9" s="103"/>
      <c r="V9" s="125">
        <f>'Forecast - Current'!M9</f>
        <v>10625</v>
      </c>
      <c r="W9" s="103"/>
      <c r="X9" s="125">
        <f>'Forecast - Current'!N9</f>
        <v>29470</v>
      </c>
      <c r="Y9" s="103"/>
      <c r="Z9" s="125">
        <f>'Forecast - Current'!O9</f>
        <v>0</v>
      </c>
      <c r="AA9" s="104"/>
      <c r="AB9" s="119">
        <f t="shared" ref="AB9:AB21" si="0">E9+G9+I9+K9+M9+O9+Q9+S9+U9+W9+Y9+AA9</f>
        <v>82652</v>
      </c>
      <c r="AC9" s="1"/>
    </row>
    <row r="10" spans="1:29" s="3" customFormat="1" ht="9.9499999999999993" customHeight="1" x14ac:dyDescent="0.2">
      <c r="A10" s="4"/>
      <c r="B10" s="108"/>
      <c r="C10" s="57"/>
      <c r="D10" s="122"/>
      <c r="E10" s="103"/>
      <c r="F10" s="125"/>
      <c r="G10" s="103"/>
      <c r="H10" s="125"/>
      <c r="I10" s="103"/>
      <c r="J10" s="125"/>
      <c r="K10" s="103"/>
      <c r="L10" s="125"/>
      <c r="M10" s="103"/>
      <c r="N10" s="125"/>
      <c r="O10" s="103"/>
      <c r="P10" s="125"/>
      <c r="Q10" s="103"/>
      <c r="R10" s="125"/>
      <c r="S10" s="103"/>
      <c r="T10" s="125"/>
      <c r="U10" s="103"/>
      <c r="V10" s="125"/>
      <c r="W10" s="103"/>
      <c r="X10" s="125"/>
      <c r="Y10" s="103"/>
      <c r="Z10" s="125"/>
      <c r="AA10" s="104"/>
      <c r="AB10" s="119"/>
      <c r="AC10" s="4"/>
    </row>
    <row r="11" spans="1:29" x14ac:dyDescent="0.2">
      <c r="A11" s="1"/>
      <c r="B11" s="109" t="s">
        <v>16</v>
      </c>
      <c r="C11" s="57">
        <f>'Forecast - Current'!C11</f>
        <v>165000</v>
      </c>
      <c r="D11" s="122">
        <f>'Forecast - Current'!D11</f>
        <v>11708</v>
      </c>
      <c r="E11" s="103">
        <f>200+142+160+440+475+380+1140+8051+720</f>
        <v>11708</v>
      </c>
      <c r="F11" s="125">
        <f>'Forecast - Current'!E11</f>
        <v>14235</v>
      </c>
      <c r="G11" s="103">
        <f>160+77+263+200+200+250+120+560+720+332+3400+71+75+300+420+80+270+640+4174+240+440+300+325+200+100+158+160</f>
        <v>14235</v>
      </c>
      <c r="H11" s="125">
        <f>'Forecast - Current'!F11</f>
        <v>26354</v>
      </c>
      <c r="I11" s="103">
        <f>680+5083+381+360+2565+177+450+160+720+640+400+5513+1000+200+126+160+4285+150+455+50+525+60+120+372+160+630+120+332+480</f>
        <v>26354</v>
      </c>
      <c r="J11" s="125">
        <f>'Forecast - Current'!G11</f>
        <v>9357.5</v>
      </c>
      <c r="K11" s="103">
        <f>440+855+106.5+50+100+100+300+160+2718+203+120+260+82+2919+350+400+94+100</f>
        <v>9357.5</v>
      </c>
      <c r="L11" s="125">
        <f>'Forecast - Current'!H11</f>
        <v>12918</v>
      </c>
      <c r="M11" s="103">
        <f>198+120+160+150+360+40+50+177+480+100+120+540+500+3988+720+1140+400+240+4229+100+320+160+480+126+520+260+200</f>
        <v>15878</v>
      </c>
      <c r="N11" s="125">
        <f>'Forecast - Current'!I11</f>
        <v>12918</v>
      </c>
      <c r="O11" s="103">
        <f>14692</f>
        <v>14692</v>
      </c>
      <c r="P11" s="125">
        <f>'Forecast - Current'!J11</f>
        <v>12918</v>
      </c>
      <c r="Q11" s="103">
        <f>21893.25</f>
        <v>21893.25</v>
      </c>
      <c r="R11" s="125">
        <f>'Forecast - Current'!K11</f>
        <v>12918</v>
      </c>
      <c r="S11" s="103"/>
      <c r="T11" s="125">
        <f>'Forecast - Current'!L11</f>
        <v>12918</v>
      </c>
      <c r="U11" s="103"/>
      <c r="V11" s="125">
        <f>'Forecast - Current'!M11</f>
        <v>12918</v>
      </c>
      <c r="W11" s="103"/>
      <c r="X11" s="125">
        <f>'Forecast - Current'!N11</f>
        <v>12918</v>
      </c>
      <c r="Y11" s="103"/>
      <c r="Z11" s="125">
        <f>'Forecast - Current'!O11</f>
        <v>12919</v>
      </c>
      <c r="AA11" s="104"/>
      <c r="AB11" s="119">
        <f t="shared" si="0"/>
        <v>114117.75</v>
      </c>
      <c r="AC11" s="1"/>
    </row>
    <row r="12" spans="1:29" s="3" customFormat="1" ht="9.9499999999999993" customHeight="1" x14ac:dyDescent="0.2">
      <c r="A12" s="4"/>
      <c r="B12" s="108"/>
      <c r="C12" s="57"/>
      <c r="D12" s="122"/>
      <c r="E12" s="103"/>
      <c r="F12" s="125"/>
      <c r="G12" s="103"/>
      <c r="H12" s="125"/>
      <c r="I12" s="103"/>
      <c r="J12" s="125"/>
      <c r="K12" s="103"/>
      <c r="L12" s="125"/>
      <c r="M12" s="103"/>
      <c r="N12" s="125"/>
      <c r="O12" s="103"/>
      <c r="P12" s="125"/>
      <c r="Q12" s="103"/>
      <c r="R12" s="125"/>
      <c r="S12" s="103"/>
      <c r="T12" s="125"/>
      <c r="U12" s="103"/>
      <c r="V12" s="125"/>
      <c r="W12" s="103"/>
      <c r="X12" s="125"/>
      <c r="Y12" s="103"/>
      <c r="Z12" s="125"/>
      <c r="AA12" s="104"/>
      <c r="AB12" s="119"/>
      <c r="AC12" s="4"/>
    </row>
    <row r="13" spans="1:29" x14ac:dyDescent="0.2">
      <c r="A13" s="1"/>
      <c r="B13" s="109" t="s">
        <v>17</v>
      </c>
      <c r="C13" s="57"/>
      <c r="D13" s="122">
        <f>'Forecast - Current'!D13</f>
        <v>26514</v>
      </c>
      <c r="E13" s="103">
        <f>500+1073+5867+1000+11867+5707+500</f>
        <v>26514</v>
      </c>
      <c r="F13" s="125">
        <f>'Forecast - Current'!E13</f>
        <v>49609</v>
      </c>
      <c r="G13" s="103">
        <f>5214+15250+14237+10293+4615</f>
        <v>49609</v>
      </c>
      <c r="H13" s="125">
        <f>'Forecast - Current'!F13</f>
        <v>27079</v>
      </c>
      <c r="I13" s="103">
        <f>353+508+1016+508+6700+11943+5587+13205-12741</f>
        <v>27079</v>
      </c>
      <c r="J13" s="125">
        <f>'Forecast - Current'!G13</f>
        <v>22682</v>
      </c>
      <c r="K13" s="103">
        <f>9115+9869+3698</f>
        <v>22682</v>
      </c>
      <c r="L13" s="125">
        <f>'Forecast - Current'!H13</f>
        <v>0</v>
      </c>
      <c r="M13" s="103">
        <f>334+396+2149+1570+1000+4251+6935</f>
        <v>16635</v>
      </c>
      <c r="N13" s="125">
        <f>'Forecast - Current'!I13</f>
        <v>0</v>
      </c>
      <c r="O13" s="103">
        <f>15826</f>
        <v>15826</v>
      </c>
      <c r="P13" s="125">
        <f>'Forecast - Current'!J13</f>
        <v>0</v>
      </c>
      <c r="Q13" s="103">
        <f>20169.73</f>
        <v>20169.73</v>
      </c>
      <c r="R13" s="125">
        <f>'Forecast - Current'!K13</f>
        <v>0</v>
      </c>
      <c r="S13" s="103"/>
      <c r="T13" s="125">
        <f>'Forecast - Current'!L13</f>
        <v>0</v>
      </c>
      <c r="U13" s="103"/>
      <c r="V13" s="125">
        <f>'Forecast - Current'!M13</f>
        <v>0</v>
      </c>
      <c r="W13" s="103"/>
      <c r="X13" s="125">
        <f>'Forecast - Current'!N13</f>
        <v>0</v>
      </c>
      <c r="Y13" s="103"/>
      <c r="Z13" s="125">
        <f>'Forecast - Current'!O13</f>
        <v>0</v>
      </c>
      <c r="AA13" s="104"/>
      <c r="AB13" s="119">
        <f t="shared" si="0"/>
        <v>178514.73</v>
      </c>
      <c r="AC13" s="1"/>
    </row>
    <row r="14" spans="1:29" s="3" customFormat="1" ht="9.9499999999999993" customHeight="1" x14ac:dyDescent="0.2">
      <c r="A14" s="4"/>
      <c r="B14" s="108"/>
      <c r="C14" s="57"/>
      <c r="D14" s="122"/>
      <c r="E14" s="103"/>
      <c r="F14" s="125"/>
      <c r="G14" s="103"/>
      <c r="H14" s="125"/>
      <c r="I14" s="103"/>
      <c r="J14" s="125"/>
      <c r="K14" s="103"/>
      <c r="L14" s="125"/>
      <c r="M14" s="103"/>
      <c r="N14" s="125"/>
      <c r="O14" s="103"/>
      <c r="P14" s="125"/>
      <c r="Q14" s="103"/>
      <c r="R14" s="125"/>
      <c r="S14" s="103"/>
      <c r="T14" s="125"/>
      <c r="U14" s="103"/>
      <c r="V14" s="125"/>
      <c r="W14" s="103"/>
      <c r="X14" s="125"/>
      <c r="Y14" s="103"/>
      <c r="Z14" s="125"/>
      <c r="AA14" s="104"/>
      <c r="AB14" s="119"/>
      <c r="AC14" s="4"/>
    </row>
    <row r="15" spans="1:29" x14ac:dyDescent="0.2">
      <c r="A15" s="1"/>
      <c r="B15" s="109" t="s">
        <v>18</v>
      </c>
      <c r="C15" s="57">
        <f>'Forecast - Current'!C15</f>
        <v>118658</v>
      </c>
      <c r="D15" s="122">
        <f>'Forecast - Current'!D15</f>
        <v>24495</v>
      </c>
      <c r="E15" s="103">
        <f>35+120+45+33+30+20+35+10682+20+49+1843+15+15+20+20+189+9037+25+750+1477+35</f>
        <v>24495</v>
      </c>
      <c r="F15" s="125">
        <f>'Forecast - Current'!E15</f>
        <v>8735</v>
      </c>
      <c r="G15" s="103">
        <f>30+25+130+45+33+30+5+45+15+46+30+2855+2000+25+36+10+1221+670+5+20+80+30+500+35+10+300+504</f>
        <v>8735</v>
      </c>
      <c r="H15" s="125">
        <f>'Forecast - Current'!F15</f>
        <v>28615</v>
      </c>
      <c r="I15" s="103">
        <f>40+25+125+40+43+20+150+400+10+556+750+10479+5+40+1060+115+20+50+20+970+10+221+15+12278+20+10+40+20+40+342+556+30+10+105</f>
        <v>28615</v>
      </c>
      <c r="J15" s="125">
        <f>'Forecast - Current'!G15</f>
        <v>24443</v>
      </c>
      <c r="K15" s="103">
        <f>30+20+120+35+35+43+25+40+235+773+12292+8500+20+48+305+705+20+15+11+950+10+100+5+35+35+30+5+1</f>
        <v>24443</v>
      </c>
      <c r="L15" s="125">
        <f>'Forecast - Current'!H15</f>
        <v>1070</v>
      </c>
      <c r="M15" s="103">
        <f>16690+35+25+125+45+28+40+10+40+92+37+15+5+15+10+164+10+15+68+2618+10+30+50+5+12954</f>
        <v>33136</v>
      </c>
      <c r="N15" s="125">
        <f>'Forecast - Current'!I15</f>
        <v>1070</v>
      </c>
      <c r="O15" s="103">
        <f>518+161+1500+1028+19+60+44+335+41+696+51</f>
        <v>4453</v>
      </c>
      <c r="P15" s="125">
        <f>'Forecast - Current'!J15</f>
        <v>1070</v>
      </c>
      <c r="Q15" s="103">
        <f>36156.17</f>
        <v>36156.17</v>
      </c>
      <c r="R15" s="125">
        <f>'Forecast - Current'!K15</f>
        <v>1070</v>
      </c>
      <c r="S15" s="103"/>
      <c r="T15" s="125">
        <f>'Forecast - Current'!L15</f>
        <v>1070</v>
      </c>
      <c r="U15" s="103"/>
      <c r="V15" s="125">
        <f>'Forecast - Current'!M15</f>
        <v>24870</v>
      </c>
      <c r="W15" s="103"/>
      <c r="X15" s="125">
        <f>'Forecast - Current'!N15</f>
        <v>1070</v>
      </c>
      <c r="Y15" s="103"/>
      <c r="Z15" s="125">
        <f>'Forecast - Current'!O15</f>
        <v>1080</v>
      </c>
      <c r="AA15" s="104"/>
      <c r="AB15" s="119">
        <f t="shared" si="0"/>
        <v>160033.16999999998</v>
      </c>
      <c r="AC15" s="1"/>
    </row>
    <row r="16" spans="1:29" s="3" customFormat="1" ht="9.9499999999999993" customHeight="1" x14ac:dyDescent="0.2">
      <c r="A16" s="4"/>
      <c r="B16" s="108"/>
      <c r="C16" s="57"/>
      <c r="D16" s="122"/>
      <c r="E16" s="103"/>
      <c r="F16" s="125"/>
      <c r="G16" s="103"/>
      <c r="H16" s="125"/>
      <c r="I16" s="103"/>
      <c r="J16" s="125"/>
      <c r="K16" s="103"/>
      <c r="L16" s="125"/>
      <c r="M16" s="103"/>
      <c r="N16" s="125"/>
      <c r="O16" s="103"/>
      <c r="P16" s="125"/>
      <c r="Q16" s="103"/>
      <c r="R16" s="125"/>
      <c r="S16" s="103"/>
      <c r="T16" s="125"/>
      <c r="U16" s="103"/>
      <c r="V16" s="125"/>
      <c r="W16" s="103"/>
      <c r="X16" s="125"/>
      <c r="Y16" s="103"/>
      <c r="Z16" s="125"/>
      <c r="AA16" s="104"/>
      <c r="AB16" s="119"/>
      <c r="AC16" s="4"/>
    </row>
    <row r="17" spans="1:29" x14ac:dyDescent="0.2">
      <c r="A17" s="1"/>
      <c r="B17" s="110" t="s">
        <v>19</v>
      </c>
      <c r="C17" s="57">
        <f>'Forecast - Current'!C17</f>
        <v>0</v>
      </c>
      <c r="D17" s="122">
        <f>'Forecast - Current'!D17</f>
        <v>0</v>
      </c>
      <c r="E17" s="103"/>
      <c r="F17" s="125">
        <f>'Forecast - Current'!E17</f>
        <v>0</v>
      </c>
      <c r="G17" s="103"/>
      <c r="H17" s="125">
        <f>'Forecast - Current'!F17</f>
        <v>0</v>
      </c>
      <c r="I17" s="103"/>
      <c r="J17" s="125">
        <f>'Forecast - Current'!G17</f>
        <v>0</v>
      </c>
      <c r="K17" s="103"/>
      <c r="L17" s="125">
        <f>'Forecast - Current'!H17</f>
        <v>0</v>
      </c>
      <c r="M17" s="103"/>
      <c r="N17" s="125">
        <f>'Forecast - Current'!I17</f>
        <v>0</v>
      </c>
      <c r="O17" s="103"/>
      <c r="P17" s="125">
        <f>'Forecast - Current'!J17</f>
        <v>0</v>
      </c>
      <c r="Q17" s="103"/>
      <c r="R17" s="125">
        <f>'Forecast - Current'!K17</f>
        <v>0</v>
      </c>
      <c r="S17" s="103"/>
      <c r="T17" s="125">
        <f>'Forecast - Current'!L17</f>
        <v>0</v>
      </c>
      <c r="U17" s="103"/>
      <c r="V17" s="125">
        <f>'Forecast - Current'!M17</f>
        <v>0</v>
      </c>
      <c r="W17" s="103"/>
      <c r="X17" s="125">
        <f>'Forecast - Current'!N17</f>
        <v>0</v>
      </c>
      <c r="Y17" s="103"/>
      <c r="Z17" s="125">
        <f>'Forecast - Current'!O17</f>
        <v>0</v>
      </c>
      <c r="AA17" s="104"/>
      <c r="AB17" s="119">
        <f t="shared" si="0"/>
        <v>0</v>
      </c>
      <c r="AC17" s="1"/>
    </row>
    <row r="18" spans="1:29" x14ac:dyDescent="0.2">
      <c r="A18" s="1"/>
      <c r="B18" s="110" t="s">
        <v>19</v>
      </c>
      <c r="C18" s="57">
        <f>'Forecast - Current'!C18</f>
        <v>0</v>
      </c>
      <c r="D18" s="122">
        <f>'Forecast - Current'!D18</f>
        <v>0</v>
      </c>
      <c r="E18" s="103"/>
      <c r="F18" s="125">
        <f>'Forecast - Current'!E18</f>
        <v>0</v>
      </c>
      <c r="G18" s="103"/>
      <c r="H18" s="125">
        <f>'Forecast - Current'!F18</f>
        <v>0</v>
      </c>
      <c r="I18" s="103"/>
      <c r="J18" s="125">
        <f>'Forecast - Current'!G18</f>
        <v>0</v>
      </c>
      <c r="K18" s="103"/>
      <c r="L18" s="125">
        <f>'Forecast - Current'!H18</f>
        <v>0</v>
      </c>
      <c r="M18" s="103"/>
      <c r="N18" s="125">
        <f>'Forecast - Current'!I18</f>
        <v>0</v>
      </c>
      <c r="O18" s="103"/>
      <c r="P18" s="125">
        <f>'Forecast - Current'!J18</f>
        <v>0</v>
      </c>
      <c r="Q18" s="103"/>
      <c r="R18" s="125">
        <f>'Forecast - Current'!K18</f>
        <v>0</v>
      </c>
      <c r="S18" s="103"/>
      <c r="T18" s="125">
        <f>'Forecast - Current'!L18</f>
        <v>0</v>
      </c>
      <c r="U18" s="103"/>
      <c r="V18" s="125">
        <f>'Forecast - Current'!M18</f>
        <v>0</v>
      </c>
      <c r="W18" s="103"/>
      <c r="X18" s="125">
        <f>'Forecast - Current'!N18</f>
        <v>0</v>
      </c>
      <c r="Y18" s="103"/>
      <c r="Z18" s="125">
        <f>'Forecast - Current'!O18</f>
        <v>0</v>
      </c>
      <c r="AA18" s="104"/>
      <c r="AB18" s="119">
        <f t="shared" si="0"/>
        <v>0</v>
      </c>
      <c r="AC18" s="1"/>
    </row>
    <row r="19" spans="1:29" s="3" customFormat="1" ht="9.9499999999999993" customHeight="1" x14ac:dyDescent="0.2">
      <c r="A19" s="4"/>
      <c r="B19" s="108"/>
      <c r="C19" s="57"/>
      <c r="D19" s="122"/>
      <c r="E19" s="103"/>
      <c r="F19" s="125"/>
      <c r="G19" s="103"/>
      <c r="H19" s="125"/>
      <c r="I19" s="103"/>
      <c r="J19" s="125"/>
      <c r="K19" s="103"/>
      <c r="L19" s="125"/>
      <c r="M19" s="103"/>
      <c r="N19" s="125"/>
      <c r="O19" s="103"/>
      <c r="P19" s="125"/>
      <c r="Q19" s="103"/>
      <c r="R19" s="125"/>
      <c r="S19" s="103"/>
      <c r="T19" s="125"/>
      <c r="U19" s="103"/>
      <c r="V19" s="125"/>
      <c r="W19" s="103"/>
      <c r="X19" s="125"/>
      <c r="Y19" s="103"/>
      <c r="Z19" s="125"/>
      <c r="AA19" s="104"/>
      <c r="AB19" s="119"/>
      <c r="AC19" s="4"/>
    </row>
    <row r="20" spans="1:29" ht="15.75" thickBot="1" x14ac:dyDescent="0.25">
      <c r="A20" s="1"/>
      <c r="B20" s="109" t="s">
        <v>20</v>
      </c>
      <c r="C20" s="57">
        <f>'Forecast - Current'!C20</f>
        <v>33137</v>
      </c>
      <c r="D20" s="123">
        <f>'Forecast - Current'!D20</f>
        <v>378</v>
      </c>
      <c r="E20" s="105">
        <v>378</v>
      </c>
      <c r="F20" s="126">
        <f>'Forecast - Current'!E20</f>
        <v>20018</v>
      </c>
      <c r="G20" s="105">
        <v>20018</v>
      </c>
      <c r="H20" s="126">
        <f>'Forecast - Current'!F20</f>
        <v>12741</v>
      </c>
      <c r="I20" s="105">
        <f>12741</f>
        <v>12741</v>
      </c>
      <c r="J20" s="126">
        <f>'Forecast - Current'!G20</f>
        <v>0</v>
      </c>
      <c r="K20" s="105"/>
      <c r="L20" s="126">
        <f>'Forecast - Current'!H20</f>
        <v>0</v>
      </c>
      <c r="M20" s="105"/>
      <c r="N20" s="126">
        <f>'Forecast - Current'!I20</f>
        <v>0</v>
      </c>
      <c r="O20" s="105"/>
      <c r="P20" s="126">
        <f>'Forecast - Current'!J20</f>
        <v>0</v>
      </c>
      <c r="Q20" s="105"/>
      <c r="R20" s="126">
        <f>'Forecast - Current'!K20</f>
        <v>0</v>
      </c>
      <c r="S20" s="105"/>
      <c r="T20" s="126">
        <f>'Forecast - Current'!L20</f>
        <v>0</v>
      </c>
      <c r="U20" s="105"/>
      <c r="V20" s="126">
        <f>'Forecast - Current'!M20</f>
        <v>0</v>
      </c>
      <c r="W20" s="105"/>
      <c r="X20" s="126">
        <f>'Forecast - Current'!N20</f>
        <v>0</v>
      </c>
      <c r="Y20" s="105"/>
      <c r="Z20" s="126">
        <f>'Forecast - Current'!O20</f>
        <v>0</v>
      </c>
      <c r="AA20" s="106"/>
      <c r="AB20" s="120">
        <f t="shared" si="0"/>
        <v>33137</v>
      </c>
      <c r="AC20" s="1"/>
    </row>
    <row r="21" spans="1:29" s="45" customFormat="1" ht="15.75" thickBot="1" x14ac:dyDescent="0.25">
      <c r="A21" s="44"/>
      <c r="B21" s="111" t="s">
        <v>21</v>
      </c>
      <c r="C21" s="112">
        <f>'Forecast - Current'!C21</f>
        <v>6662290</v>
      </c>
      <c r="D21" s="113">
        <f>'Forecast - Current'!D21</f>
        <v>532057</v>
      </c>
      <c r="E21" s="114">
        <f>SUM(E7:E20)</f>
        <v>532057</v>
      </c>
      <c r="F21" s="115">
        <f>'Forecast - Current'!E21</f>
        <v>590867</v>
      </c>
      <c r="G21" s="114">
        <f>SUM(G7:G20)</f>
        <v>590867</v>
      </c>
      <c r="H21" s="115">
        <f>'Forecast - Current'!F21</f>
        <v>594406</v>
      </c>
      <c r="I21" s="114">
        <f>SUM(I7:I20)</f>
        <v>594406</v>
      </c>
      <c r="J21" s="115">
        <f>'Forecast - Current'!G21</f>
        <v>527539.5</v>
      </c>
      <c r="K21" s="114">
        <f>SUM(K7:K20)</f>
        <v>527539.5</v>
      </c>
      <c r="L21" s="115">
        <f>'Forecast - Current'!H21</f>
        <v>510813</v>
      </c>
      <c r="M21" s="114">
        <f>SUM(M7:M20)</f>
        <v>563049</v>
      </c>
      <c r="N21" s="115">
        <f>'Forecast - Current'!I21</f>
        <v>496538</v>
      </c>
      <c r="O21" s="114">
        <f>SUM(O7:O20)</f>
        <v>607390</v>
      </c>
      <c r="P21" s="115">
        <f>'Forecast - Current'!J21</f>
        <v>506643</v>
      </c>
      <c r="Q21" s="114">
        <f>SUM(Q7:Q20)</f>
        <v>568626.18000000005</v>
      </c>
      <c r="R21" s="115">
        <f>'Forecast - Current'!K21</f>
        <v>517059</v>
      </c>
      <c r="S21" s="114">
        <f>SUM(S7:S20)</f>
        <v>0</v>
      </c>
      <c r="T21" s="115">
        <f>'Forecast - Current'!L21</f>
        <v>826758</v>
      </c>
      <c r="U21" s="114">
        <f>SUM(U7:U20)</f>
        <v>0</v>
      </c>
      <c r="V21" s="115">
        <f>'Forecast - Current'!M21</f>
        <v>515786</v>
      </c>
      <c r="W21" s="114">
        <f>SUM(W7:W20)</f>
        <v>0</v>
      </c>
      <c r="X21" s="115">
        <f>'Forecast - Current'!N21</f>
        <v>564347</v>
      </c>
      <c r="Y21" s="114">
        <f>SUM(Y7:Y20)</f>
        <v>0</v>
      </c>
      <c r="Z21" s="115">
        <f>'Forecast - Current'!O21</f>
        <v>479476</v>
      </c>
      <c r="AA21" s="116">
        <f>SUM(AA7:AA20)</f>
        <v>0</v>
      </c>
      <c r="AB21" s="117">
        <f t="shared" si="0"/>
        <v>3983934.68</v>
      </c>
      <c r="AC21" s="44"/>
    </row>
    <row r="22" spans="1:29" ht="9.9499999999999993" customHeight="1" thickBot="1" x14ac:dyDescent="0.25">
      <c r="A22" s="1"/>
      <c r="B22" s="2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63"/>
      <c r="AC22" s="1"/>
    </row>
    <row r="23" spans="1:29" s="17" customFormat="1" ht="29.25" thickBot="1" x14ac:dyDescent="0.25">
      <c r="A23" s="15"/>
      <c r="B23" s="28"/>
      <c r="C23" s="16" t="s">
        <v>2</v>
      </c>
      <c r="D23" s="19" t="s">
        <v>36</v>
      </c>
      <c r="E23" s="58" t="s">
        <v>63</v>
      </c>
      <c r="F23" s="18" t="s">
        <v>37</v>
      </c>
      <c r="G23" s="58" t="s">
        <v>62</v>
      </c>
      <c r="H23" s="18" t="s">
        <v>38</v>
      </c>
      <c r="I23" s="58" t="s">
        <v>51</v>
      </c>
      <c r="J23" s="18" t="s">
        <v>39</v>
      </c>
      <c r="K23" s="58" t="s">
        <v>61</v>
      </c>
      <c r="L23" s="18" t="s">
        <v>40</v>
      </c>
      <c r="M23" s="58" t="s">
        <v>60</v>
      </c>
      <c r="N23" s="18" t="s">
        <v>41</v>
      </c>
      <c r="O23" s="58" t="s">
        <v>59</v>
      </c>
      <c r="P23" s="18" t="s">
        <v>42</v>
      </c>
      <c r="Q23" s="58" t="s">
        <v>58</v>
      </c>
      <c r="R23" s="18" t="s">
        <v>43</v>
      </c>
      <c r="S23" s="58" t="s">
        <v>57</v>
      </c>
      <c r="T23" s="18" t="s">
        <v>44</v>
      </c>
      <c r="U23" s="58" t="s">
        <v>56</v>
      </c>
      <c r="V23" s="18" t="s">
        <v>45</v>
      </c>
      <c r="W23" s="58" t="s">
        <v>55</v>
      </c>
      <c r="X23" s="18" t="s">
        <v>46</v>
      </c>
      <c r="Y23" s="58" t="s">
        <v>54</v>
      </c>
      <c r="Z23" s="18" t="s">
        <v>47</v>
      </c>
      <c r="AA23" s="59" t="s">
        <v>53</v>
      </c>
      <c r="AB23" s="60" t="s">
        <v>52</v>
      </c>
      <c r="AC23" s="15"/>
    </row>
    <row r="24" spans="1:29" x14ac:dyDescent="0.2">
      <c r="A24" s="1"/>
      <c r="B24" s="33" t="s">
        <v>22</v>
      </c>
      <c r="C24" s="187"/>
      <c r="D24" s="189"/>
      <c r="E24" s="185"/>
      <c r="F24" s="191"/>
      <c r="G24" s="185"/>
      <c r="H24" s="193"/>
      <c r="I24" s="185"/>
      <c r="J24" s="191"/>
      <c r="K24" s="185"/>
      <c r="L24" s="191"/>
      <c r="M24" s="185"/>
      <c r="N24" s="193"/>
      <c r="O24" s="185"/>
      <c r="P24" s="193"/>
      <c r="Q24" s="185"/>
      <c r="R24" s="191"/>
      <c r="S24" s="185"/>
      <c r="T24" s="191"/>
      <c r="U24" s="185"/>
      <c r="V24" s="191"/>
      <c r="W24" s="185"/>
      <c r="X24" s="191"/>
      <c r="Y24" s="185"/>
      <c r="Z24" s="191"/>
      <c r="AA24" s="203"/>
      <c r="AB24" s="197"/>
      <c r="AC24" s="1"/>
    </row>
    <row r="25" spans="1:29" ht="9.9499999999999993" customHeight="1" thickBot="1" x14ac:dyDescent="0.25">
      <c r="A25" s="1"/>
      <c r="B25" s="34"/>
      <c r="C25" s="188"/>
      <c r="D25" s="190"/>
      <c r="E25" s="186"/>
      <c r="F25" s="192"/>
      <c r="G25" s="186"/>
      <c r="H25" s="194"/>
      <c r="I25" s="186"/>
      <c r="J25" s="192"/>
      <c r="K25" s="186"/>
      <c r="L25" s="192"/>
      <c r="M25" s="186"/>
      <c r="N25" s="194"/>
      <c r="O25" s="186"/>
      <c r="P25" s="194"/>
      <c r="Q25" s="186"/>
      <c r="R25" s="192"/>
      <c r="S25" s="186"/>
      <c r="T25" s="192"/>
      <c r="U25" s="186"/>
      <c r="V25" s="192"/>
      <c r="W25" s="186"/>
      <c r="X25" s="192"/>
      <c r="Y25" s="186"/>
      <c r="Z25" s="192"/>
      <c r="AA25" s="204"/>
      <c r="AB25" s="198"/>
      <c r="AC25" s="1"/>
    </row>
    <row r="26" spans="1:29" x14ac:dyDescent="0.2">
      <c r="A26" s="1"/>
      <c r="B26" s="35" t="s">
        <v>23</v>
      </c>
      <c r="C26" s="67">
        <f>'Forecast - Current'!C26</f>
        <v>5540985</v>
      </c>
      <c r="D26" s="46">
        <f>'Forecast - Current'!D26</f>
        <v>427160</v>
      </c>
      <c r="E26" s="101">
        <f>55060+1722+28134+100549+1548+240037+110</f>
        <v>427160</v>
      </c>
      <c r="F26" s="124">
        <f>'Forecast - Current'!E26</f>
        <v>457990</v>
      </c>
      <c r="G26" s="101">
        <f>60957+774+2236+1164+28933+894+109139+253783+110</f>
        <v>457990</v>
      </c>
      <c r="H26" s="124">
        <f>'Forecast - Current'!F26</f>
        <v>460073</v>
      </c>
      <c r="I26" s="101">
        <f>8698+59947+2064+1032+27796+93217+267319</f>
        <v>460073</v>
      </c>
      <c r="J26" s="124">
        <f>'Forecast - Current'!G26</f>
        <v>575423</v>
      </c>
      <c r="K26" s="101">
        <f>1584+67886+9987+3874+27952+347861+116279</f>
        <v>575423</v>
      </c>
      <c r="L26" s="124">
        <f>'Forecast - Current'!H26</f>
        <v>452542</v>
      </c>
      <c r="M26" s="101">
        <f>3869+1380+300+104909+346352+1176</f>
        <v>457986</v>
      </c>
      <c r="N26" s="124">
        <f>'Forecast - Current'!I26</f>
        <v>452542</v>
      </c>
      <c r="O26" s="101">
        <f>5854+4326+1640+108207+349475</f>
        <v>469502</v>
      </c>
      <c r="P26" s="124">
        <f>'Forecast - Current'!J26</f>
        <v>452542</v>
      </c>
      <c r="Q26" s="101">
        <f>472180.62</f>
        <v>472180.62</v>
      </c>
      <c r="R26" s="124">
        <f>'Forecast - Current'!K26</f>
        <v>452542</v>
      </c>
      <c r="S26" s="101"/>
      <c r="T26" s="124">
        <f>'Forecast - Current'!L26</f>
        <v>452542</v>
      </c>
      <c r="U26" s="101"/>
      <c r="V26" s="124">
        <f>'Forecast - Current'!M26</f>
        <v>452542</v>
      </c>
      <c r="W26" s="101"/>
      <c r="X26" s="124">
        <f>'Forecast - Current'!N26</f>
        <v>452542</v>
      </c>
      <c r="Y26" s="101"/>
      <c r="Z26" s="124">
        <f>'Forecast - Current'!O26</f>
        <v>452545</v>
      </c>
      <c r="AA26" s="102"/>
      <c r="AB26" s="64">
        <f>E26+G26+I26+K26+M26+O26+Q26+S26+U26+W26+Y26+AA26</f>
        <v>3320314.62</v>
      </c>
      <c r="AC26" s="1"/>
    </row>
    <row r="27" spans="1:29" ht="9.9499999999999993" customHeight="1" x14ac:dyDescent="0.2">
      <c r="A27" s="1"/>
      <c r="B27" s="30"/>
      <c r="C27" s="68"/>
      <c r="D27" s="46"/>
      <c r="E27" s="103"/>
      <c r="F27" s="124"/>
      <c r="G27" s="103"/>
      <c r="H27" s="124"/>
      <c r="I27" s="103"/>
      <c r="J27" s="124"/>
      <c r="K27" s="103"/>
      <c r="L27" s="124"/>
      <c r="M27" s="103"/>
      <c r="N27" s="124"/>
      <c r="O27" s="103"/>
      <c r="P27" s="124"/>
      <c r="Q27" s="103"/>
      <c r="R27" s="124"/>
      <c r="S27" s="103"/>
      <c r="T27" s="124"/>
      <c r="U27" s="103"/>
      <c r="V27" s="124"/>
      <c r="W27" s="103"/>
      <c r="X27" s="124"/>
      <c r="Y27" s="103"/>
      <c r="Z27" s="124"/>
      <c r="AA27" s="104"/>
      <c r="AB27" s="64"/>
      <c r="AC27" s="1"/>
    </row>
    <row r="28" spans="1:29" x14ac:dyDescent="0.2">
      <c r="A28" s="1"/>
      <c r="B28" s="30" t="s">
        <v>25</v>
      </c>
      <c r="C28" s="68">
        <f>'Forecast - Current'!C28</f>
        <v>117008</v>
      </c>
      <c r="D28" s="46">
        <f>'Forecast - Current'!D28</f>
        <v>3362</v>
      </c>
      <c r="E28" s="103">
        <f>2776+586</f>
        <v>3362</v>
      </c>
      <c r="F28" s="124">
        <f>'Forecast - Current'!E28</f>
        <v>19237</v>
      </c>
      <c r="G28" s="103">
        <f>2625+344+1250+11433+335+3250</f>
        <v>19237</v>
      </c>
      <c r="H28" s="124">
        <f>'Forecast - Current'!F28</f>
        <v>22154</v>
      </c>
      <c r="I28" s="103">
        <f>19377+2397+380</f>
        <v>22154</v>
      </c>
      <c r="J28" s="124">
        <f>'Forecast - Current'!G28</f>
        <v>72255</v>
      </c>
      <c r="K28" s="103">
        <f>4830+49630+17727+68</f>
        <v>72255</v>
      </c>
      <c r="L28" s="124">
        <f>'Forecast - Current'!H28</f>
        <v>0</v>
      </c>
      <c r="M28" s="103">
        <f>3743+24+1126+250</f>
        <v>5143</v>
      </c>
      <c r="N28" s="124">
        <f>'Forecast - Current'!I28</f>
        <v>0</v>
      </c>
      <c r="O28" s="103">
        <f>1500+124+4368+11636+700</f>
        <v>18328</v>
      </c>
      <c r="P28" s="124">
        <f>'Forecast - Current'!J28</f>
        <v>0</v>
      </c>
      <c r="Q28" s="103">
        <v>14476</v>
      </c>
      <c r="R28" s="124">
        <f>'Forecast - Current'!K28</f>
        <v>0</v>
      </c>
      <c r="S28" s="103"/>
      <c r="T28" s="124">
        <f>'Forecast - Current'!L28</f>
        <v>0</v>
      </c>
      <c r="U28" s="103"/>
      <c r="V28" s="124">
        <f>'Forecast - Current'!M28</f>
        <v>0</v>
      </c>
      <c r="W28" s="103"/>
      <c r="X28" s="124">
        <f>'Forecast - Current'!N28</f>
        <v>0</v>
      </c>
      <c r="Y28" s="103"/>
      <c r="Z28" s="124">
        <f>'Forecast - Current'!O28</f>
        <v>0</v>
      </c>
      <c r="AA28" s="104"/>
      <c r="AB28" s="64">
        <f t="shared" ref="AB28:AB37" si="1">E28+G28+I28+K28+M28+O28+Q28+S28+U28+W28+Y28+AA28</f>
        <v>154955</v>
      </c>
      <c r="AC28" s="1"/>
    </row>
    <row r="29" spans="1:29" ht="9.9499999999999993" customHeight="1" x14ac:dyDescent="0.2">
      <c r="A29" s="1"/>
      <c r="B29" s="30"/>
      <c r="C29" s="68"/>
      <c r="D29" s="46"/>
      <c r="E29" s="103"/>
      <c r="F29" s="124"/>
      <c r="G29" s="103"/>
      <c r="H29" s="124"/>
      <c r="I29" s="103"/>
      <c r="J29" s="124"/>
      <c r="K29" s="103"/>
      <c r="L29" s="124"/>
      <c r="M29" s="103"/>
      <c r="N29" s="124"/>
      <c r="O29" s="103"/>
      <c r="P29" s="124"/>
      <c r="Q29" s="103"/>
      <c r="R29" s="124"/>
      <c r="S29" s="103"/>
      <c r="T29" s="124"/>
      <c r="U29" s="103"/>
      <c r="V29" s="124"/>
      <c r="W29" s="103"/>
      <c r="X29" s="124"/>
      <c r="Y29" s="103"/>
      <c r="Z29" s="124"/>
      <c r="AA29" s="104"/>
      <c r="AB29" s="64"/>
      <c r="AC29" s="1"/>
    </row>
    <row r="30" spans="1:29" x14ac:dyDescent="0.2">
      <c r="A30" s="1"/>
      <c r="B30" s="30" t="s">
        <v>24</v>
      </c>
      <c r="C30" s="68">
        <f>'Forecast - Current'!C30</f>
        <v>1147296</v>
      </c>
      <c r="D30" s="46">
        <f>'Forecast - Current'!D30</f>
        <v>121681</v>
      </c>
      <c r="E30" s="103">
        <f>39+3413+7+300+613+709+787+83269+32514+30</f>
        <v>121681</v>
      </c>
      <c r="F30" s="124">
        <f>'Forecast - Current'!E30</f>
        <v>82770</v>
      </c>
      <c r="G30" s="103">
        <f>3413+5303+7+4943+520+520+407+709+3426+16877+46372+147+122+4</f>
        <v>82770</v>
      </c>
      <c r="H30" s="124">
        <f>'Forecast - Current'!F30</f>
        <v>142482</v>
      </c>
      <c r="I30" s="103">
        <f>3413+7+24529+6000+46383+407+709+2078+220+4014+10595+43828+300-1</f>
        <v>142482</v>
      </c>
      <c r="J30" s="124">
        <f>'Forecast - Current'!G30</f>
        <v>96957</v>
      </c>
      <c r="K30" s="103">
        <f>39+212+703+3413+8809+7+36544+407+709+1039+4126+38923+5489-3463</f>
        <v>96957</v>
      </c>
      <c r="L30" s="124">
        <f>'Forecast - Current'!H30</f>
        <v>136496</v>
      </c>
      <c r="M30" s="103">
        <f>117+3414+7+6650+32302+709+1932+407+1039+2656+386+1302+26842+153+48036+40+132</f>
        <v>126124</v>
      </c>
      <c r="N30" s="124">
        <f>'Forecast - Current'!I30</f>
        <v>76496</v>
      </c>
      <c r="O30" s="103">
        <f>7+14783+383+13736+120+407+709+1039+40+220+2338+52909+63-8</f>
        <v>86746</v>
      </c>
      <c r="P30" s="124">
        <f>'Forecast - Current'!J30</f>
        <v>87935</v>
      </c>
      <c r="Q30" s="103">
        <f>198574.25</f>
        <v>198574.25</v>
      </c>
      <c r="R30" s="124">
        <f>'Forecast - Current'!K30</f>
        <v>76496</v>
      </c>
      <c r="S30" s="103"/>
      <c r="T30" s="124">
        <f>'Forecast - Current'!L30</f>
        <v>76496</v>
      </c>
      <c r="U30" s="103"/>
      <c r="V30" s="124">
        <f>'Forecast - Current'!M30</f>
        <v>86496</v>
      </c>
      <c r="W30" s="103"/>
      <c r="X30" s="124">
        <f>'Forecast - Current'!N30</f>
        <v>86496</v>
      </c>
      <c r="Y30" s="103"/>
      <c r="Z30" s="124">
        <f>'Forecast - Current'!O30</f>
        <v>76495</v>
      </c>
      <c r="AA30" s="104"/>
      <c r="AB30" s="64">
        <f t="shared" si="1"/>
        <v>855334.25</v>
      </c>
      <c r="AC30" s="1"/>
    </row>
    <row r="31" spans="1:29" ht="9.9499999999999993" customHeight="1" x14ac:dyDescent="0.2">
      <c r="A31" s="1"/>
      <c r="B31" s="30"/>
      <c r="C31" s="68"/>
      <c r="D31" s="46"/>
      <c r="E31" s="103"/>
      <c r="F31" s="124"/>
      <c r="G31" s="103"/>
      <c r="H31" s="124"/>
      <c r="I31" s="103"/>
      <c r="J31" s="124"/>
      <c r="K31" s="103"/>
      <c r="L31" s="124"/>
      <c r="M31" s="103"/>
      <c r="N31" s="124"/>
      <c r="O31" s="103"/>
      <c r="P31" s="124"/>
      <c r="Q31" s="103"/>
      <c r="R31" s="124"/>
      <c r="S31" s="103"/>
      <c r="T31" s="124"/>
      <c r="U31" s="103"/>
      <c r="V31" s="124"/>
      <c r="W31" s="103"/>
      <c r="X31" s="124"/>
      <c r="Y31" s="103"/>
      <c r="Z31" s="124"/>
      <c r="AA31" s="104"/>
      <c r="AB31" s="64"/>
      <c r="AC31" s="1"/>
    </row>
    <row r="32" spans="1:29" x14ac:dyDescent="0.2">
      <c r="A32" s="1"/>
      <c r="B32" s="30" t="s">
        <v>33</v>
      </c>
      <c r="C32" s="68">
        <f>'Forecast - Current'!C32</f>
        <v>11389</v>
      </c>
      <c r="D32" s="46">
        <f>'Forecast - Current'!D32</f>
        <v>0</v>
      </c>
      <c r="E32" s="103"/>
      <c r="F32" s="124">
        <f>'Forecast - Current'!E32</f>
        <v>0</v>
      </c>
      <c r="G32" s="103"/>
      <c r="H32" s="124">
        <f>'Forecast - Current'!F32</f>
        <v>0</v>
      </c>
      <c r="I32" s="103"/>
      <c r="J32" s="124">
        <f>'Forecast - Current'!G32</f>
        <v>0</v>
      </c>
      <c r="K32" s="103"/>
      <c r="L32" s="124">
        <f>'Forecast - Current'!H32</f>
        <v>5000</v>
      </c>
      <c r="M32" s="103"/>
      <c r="N32" s="124">
        <f>'Forecast - Current'!I32</f>
        <v>0</v>
      </c>
      <c r="O32" s="103"/>
      <c r="P32" s="124">
        <f>'Forecast - Current'!J32</f>
        <v>0</v>
      </c>
      <c r="Q32" s="103"/>
      <c r="R32" s="124">
        <f>'Forecast - Current'!K32</f>
        <v>0</v>
      </c>
      <c r="S32" s="103"/>
      <c r="T32" s="124">
        <f>'Forecast - Current'!L32</f>
        <v>0</v>
      </c>
      <c r="U32" s="103"/>
      <c r="V32" s="124">
        <f>'Forecast - Current'!M32</f>
        <v>0</v>
      </c>
      <c r="W32" s="103"/>
      <c r="X32" s="124">
        <f>'Forecast - Current'!N32</f>
        <v>6389</v>
      </c>
      <c r="Y32" s="103"/>
      <c r="Z32" s="124">
        <f>'Forecast - Current'!O32</f>
        <v>0</v>
      </c>
      <c r="AA32" s="104"/>
      <c r="AB32" s="64">
        <f t="shared" si="1"/>
        <v>0</v>
      </c>
      <c r="AC32" s="1"/>
    </row>
    <row r="33" spans="1:29" x14ac:dyDescent="0.2">
      <c r="A33" s="1"/>
      <c r="B33" s="30" t="s">
        <v>34</v>
      </c>
      <c r="C33" s="68">
        <f>'Forecast - Current'!C33</f>
        <v>10547</v>
      </c>
      <c r="D33" s="46">
        <f>'Forecast - Current'!D33</f>
        <v>0</v>
      </c>
      <c r="E33" s="103"/>
      <c r="F33" s="124">
        <f>'Forecast - Current'!E33</f>
        <v>0</v>
      </c>
      <c r="G33" s="103"/>
      <c r="H33" s="124">
        <f>'Forecast - Current'!F33</f>
        <v>0</v>
      </c>
      <c r="I33" s="103"/>
      <c r="J33" s="124">
        <f>'Forecast - Current'!G33</f>
        <v>0</v>
      </c>
      <c r="K33" s="103"/>
      <c r="L33" s="124">
        <f>'Forecast - Current'!H33</f>
        <v>0</v>
      </c>
      <c r="M33" s="103"/>
      <c r="N33" s="124">
        <f>'Forecast - Current'!I33</f>
        <v>10547</v>
      </c>
      <c r="O33" s="103"/>
      <c r="P33" s="124">
        <f>'Forecast - Current'!J33</f>
        <v>0</v>
      </c>
      <c r="Q33" s="103"/>
      <c r="R33" s="124">
        <f>'Forecast - Current'!K33</f>
        <v>0</v>
      </c>
      <c r="S33" s="103"/>
      <c r="T33" s="124">
        <f>'Forecast - Current'!L33</f>
        <v>0</v>
      </c>
      <c r="U33" s="103"/>
      <c r="V33" s="124">
        <f>'Forecast - Current'!M33</f>
        <v>0</v>
      </c>
      <c r="W33" s="103"/>
      <c r="X33" s="124">
        <f>'Forecast - Current'!N33</f>
        <v>0</v>
      </c>
      <c r="Y33" s="103"/>
      <c r="Z33" s="124">
        <f>'Forecast - Current'!O33</f>
        <v>0</v>
      </c>
      <c r="AA33" s="104"/>
      <c r="AB33" s="64">
        <f t="shared" si="1"/>
        <v>0</v>
      </c>
      <c r="AC33" s="1"/>
    </row>
    <row r="34" spans="1:29" ht="9.9499999999999993" customHeight="1" x14ac:dyDescent="0.2">
      <c r="A34" s="1"/>
      <c r="B34" s="30"/>
      <c r="C34" s="68"/>
      <c r="D34" s="46"/>
      <c r="E34" s="103"/>
      <c r="F34" s="124"/>
      <c r="G34" s="103"/>
      <c r="H34" s="124"/>
      <c r="I34" s="103"/>
      <c r="J34" s="124"/>
      <c r="K34" s="103"/>
      <c r="L34" s="124"/>
      <c r="M34" s="103"/>
      <c r="N34" s="124"/>
      <c r="O34" s="103"/>
      <c r="P34" s="124"/>
      <c r="Q34" s="103"/>
      <c r="R34" s="124"/>
      <c r="S34" s="103"/>
      <c r="T34" s="124"/>
      <c r="U34" s="103"/>
      <c r="V34" s="124"/>
      <c r="W34" s="103"/>
      <c r="X34" s="124"/>
      <c r="Y34" s="103"/>
      <c r="Z34" s="124"/>
      <c r="AA34" s="104"/>
      <c r="AB34" s="64"/>
      <c r="AC34" s="1"/>
    </row>
    <row r="35" spans="1:29" x14ac:dyDescent="0.2">
      <c r="A35" s="1"/>
      <c r="B35" s="30" t="s">
        <v>26</v>
      </c>
      <c r="C35" s="68">
        <f>'Forecast - Current'!C35</f>
        <v>11628</v>
      </c>
      <c r="D35" s="46">
        <f>'Forecast - Current'!D35</f>
        <v>11628</v>
      </c>
      <c r="E35" s="103">
        <v>11628</v>
      </c>
      <c r="F35" s="124">
        <f>'Forecast - Current'!E35</f>
        <v>0</v>
      </c>
      <c r="G35" s="103"/>
      <c r="H35" s="124">
        <f>'Forecast - Current'!F35</f>
        <v>0</v>
      </c>
      <c r="I35" s="103"/>
      <c r="J35" s="124">
        <f>'Forecast - Current'!G35</f>
        <v>0</v>
      </c>
      <c r="K35" s="103"/>
      <c r="L35" s="124">
        <f>'Forecast - Current'!H35</f>
        <v>0</v>
      </c>
      <c r="M35" s="103"/>
      <c r="N35" s="124">
        <f>'Forecast - Current'!I35</f>
        <v>0</v>
      </c>
      <c r="O35" s="103"/>
      <c r="P35" s="124">
        <f>'Forecast - Current'!J35</f>
        <v>0</v>
      </c>
      <c r="Q35" s="103"/>
      <c r="R35" s="124">
        <f>'Forecast - Current'!K35</f>
        <v>0</v>
      </c>
      <c r="S35" s="103"/>
      <c r="T35" s="124">
        <f>'Forecast - Current'!L35</f>
        <v>0</v>
      </c>
      <c r="U35" s="103"/>
      <c r="V35" s="124">
        <f>'Forecast - Current'!M35</f>
        <v>0</v>
      </c>
      <c r="W35" s="103"/>
      <c r="X35" s="124">
        <f>'Forecast - Current'!N35</f>
        <v>0</v>
      </c>
      <c r="Y35" s="103"/>
      <c r="Z35" s="124">
        <f>'Forecast - Current'!O35</f>
        <v>0</v>
      </c>
      <c r="AA35" s="104"/>
      <c r="AB35" s="64">
        <f t="shared" si="1"/>
        <v>11628</v>
      </c>
      <c r="AC35" s="1"/>
    </row>
    <row r="36" spans="1:29" ht="15.75" thickBot="1" x14ac:dyDescent="0.25">
      <c r="A36" s="1"/>
      <c r="B36" s="30" t="s">
        <v>27</v>
      </c>
      <c r="C36" s="69">
        <f>'Forecast - Current'!C36</f>
        <v>30131</v>
      </c>
      <c r="D36" s="48">
        <f>'Forecast - Current'!D36</f>
        <v>12309</v>
      </c>
      <c r="E36" s="105">
        <f>1702+200+290+400+3200+400+2300+400+1933+139+500+845</f>
        <v>12309</v>
      </c>
      <c r="F36" s="133">
        <f>'Forecast - Current'!E36</f>
        <v>1645</v>
      </c>
      <c r="G36" s="103">
        <f>50+1250+345</f>
        <v>1645</v>
      </c>
      <c r="H36" s="133">
        <f>'Forecast - Current'!F36</f>
        <v>0</v>
      </c>
      <c r="I36" s="105"/>
      <c r="J36" s="133">
        <f>'Forecast - Current'!G36</f>
        <v>3463</v>
      </c>
      <c r="K36" s="105">
        <v>3463</v>
      </c>
      <c r="L36" s="133">
        <f>'Forecast - Current'!H36</f>
        <v>9000</v>
      </c>
      <c r="M36" s="105"/>
      <c r="N36" s="133">
        <f>'Forecast - Current'!I36</f>
        <v>0</v>
      </c>
      <c r="O36" s="105"/>
      <c r="P36" s="133">
        <f>'Forecast - Current'!J36</f>
        <v>0</v>
      </c>
      <c r="Q36" s="105"/>
      <c r="R36" s="133">
        <f>'Forecast - Current'!K36</f>
        <v>0</v>
      </c>
      <c r="S36" s="105"/>
      <c r="T36" s="133">
        <f>'Forecast - Current'!L36</f>
        <v>0</v>
      </c>
      <c r="U36" s="105"/>
      <c r="V36" s="133">
        <f>'Forecast - Current'!M36</f>
        <v>0</v>
      </c>
      <c r="W36" s="105"/>
      <c r="X36" s="133">
        <f>'Forecast - Current'!N36</f>
        <v>0</v>
      </c>
      <c r="Y36" s="105"/>
      <c r="Z36" s="133">
        <f>'Forecast - Current'!O36</f>
        <v>3714</v>
      </c>
      <c r="AA36" s="106"/>
      <c r="AB36" s="66">
        <f t="shared" si="1"/>
        <v>17417</v>
      </c>
      <c r="AC36" s="1"/>
    </row>
    <row r="37" spans="1:29" s="132" customFormat="1" ht="15.75" thickBot="1" x14ac:dyDescent="0.25">
      <c r="A37" s="127"/>
      <c r="B37" s="128" t="s">
        <v>29</v>
      </c>
      <c r="C37" s="129">
        <f>'Forecast - Current'!C37</f>
        <v>6868984</v>
      </c>
      <c r="D37" s="130">
        <f>'Forecast - Current'!D37</f>
        <v>576140</v>
      </c>
      <c r="E37" s="114">
        <f>SUM(E26:E36)</f>
        <v>576140</v>
      </c>
      <c r="F37" s="115">
        <f>'Forecast - Current'!E37</f>
        <v>561642</v>
      </c>
      <c r="G37" s="114">
        <f>SUM(G26:G36)</f>
        <v>561642</v>
      </c>
      <c r="H37" s="115">
        <f>'Forecast - Current'!F37</f>
        <v>624709</v>
      </c>
      <c r="I37" s="114">
        <f>SUM(I26:I36)</f>
        <v>624709</v>
      </c>
      <c r="J37" s="115">
        <f>'Forecast - Current'!G37</f>
        <v>748098</v>
      </c>
      <c r="K37" s="114">
        <f>SUM(K26:K36)</f>
        <v>748098</v>
      </c>
      <c r="L37" s="115">
        <f>'Forecast - Current'!H37</f>
        <v>603038</v>
      </c>
      <c r="M37" s="114">
        <f>SUM(M26:M36)</f>
        <v>589253</v>
      </c>
      <c r="N37" s="115">
        <f>'Forecast - Current'!I37</f>
        <v>539585</v>
      </c>
      <c r="O37" s="114">
        <f>SUM(O26:O36)</f>
        <v>574576</v>
      </c>
      <c r="P37" s="115">
        <f>'Forecast - Current'!J37</f>
        <v>540477</v>
      </c>
      <c r="Q37" s="114">
        <f>SUM(Q26:Q36)</f>
        <v>685230.87</v>
      </c>
      <c r="R37" s="115">
        <f>'Forecast - Current'!K37</f>
        <v>529038</v>
      </c>
      <c r="S37" s="114">
        <f>SUM(S26:S36)</f>
        <v>0</v>
      </c>
      <c r="T37" s="115">
        <f>'Forecast - Current'!L37</f>
        <v>529038</v>
      </c>
      <c r="U37" s="114">
        <f>SUM(U26:U36)</f>
        <v>0</v>
      </c>
      <c r="V37" s="115">
        <f>'Forecast - Current'!M37</f>
        <v>539038</v>
      </c>
      <c r="W37" s="114">
        <f>SUM(W26:W36)</f>
        <v>0</v>
      </c>
      <c r="X37" s="115">
        <f>'Forecast - Current'!N37</f>
        <v>545427</v>
      </c>
      <c r="Y37" s="114">
        <f>SUM(Y26:Y36)</f>
        <v>0</v>
      </c>
      <c r="Z37" s="115">
        <f>'Forecast - Current'!O37</f>
        <v>532754</v>
      </c>
      <c r="AA37" s="116">
        <f>SUM(AA26:AA36)</f>
        <v>0</v>
      </c>
      <c r="AB37" s="131">
        <f t="shared" si="1"/>
        <v>4359648.87</v>
      </c>
      <c r="AC37" s="127"/>
    </row>
    <row r="38" spans="1:29" ht="9.9499999999999993" customHeight="1" thickBot="1" x14ac:dyDescent="0.25">
      <c r="A38" s="1"/>
      <c r="B38" s="29"/>
      <c r="C38" s="47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50"/>
      <c r="AB38" s="65"/>
      <c r="AC38" s="1"/>
    </row>
    <row r="39" spans="1:29" s="45" customFormat="1" ht="15.75" thickBot="1" x14ac:dyDescent="0.25">
      <c r="A39" s="44"/>
      <c r="B39" s="36" t="s">
        <v>30</v>
      </c>
      <c r="C39" s="54">
        <f>C21-C37</f>
        <v>-206694</v>
      </c>
      <c r="D39" s="51">
        <f t="shared" ref="D39:AB39" si="2">D21-D37</f>
        <v>-44083</v>
      </c>
      <c r="E39" s="54">
        <f t="shared" si="2"/>
        <v>-44083</v>
      </c>
      <c r="F39" s="51">
        <f t="shared" si="2"/>
        <v>29225</v>
      </c>
      <c r="G39" s="54">
        <f t="shared" si="2"/>
        <v>29225</v>
      </c>
      <c r="H39" s="51">
        <f t="shared" si="2"/>
        <v>-30303</v>
      </c>
      <c r="I39" s="54">
        <f t="shared" si="2"/>
        <v>-30303</v>
      </c>
      <c r="J39" s="51">
        <f t="shared" si="2"/>
        <v>-220558.5</v>
      </c>
      <c r="K39" s="54">
        <f t="shared" si="2"/>
        <v>-220558.5</v>
      </c>
      <c r="L39" s="51">
        <f t="shared" si="2"/>
        <v>-92225</v>
      </c>
      <c r="M39" s="54">
        <f t="shared" si="2"/>
        <v>-26204</v>
      </c>
      <c r="N39" s="51">
        <f t="shared" si="2"/>
        <v>-43047</v>
      </c>
      <c r="O39" s="54">
        <f t="shared" si="2"/>
        <v>32814</v>
      </c>
      <c r="P39" s="51">
        <f t="shared" si="2"/>
        <v>-33834</v>
      </c>
      <c r="Q39" s="54">
        <f t="shared" si="2"/>
        <v>-116604.68999999994</v>
      </c>
      <c r="R39" s="51">
        <f t="shared" si="2"/>
        <v>-11979</v>
      </c>
      <c r="S39" s="54">
        <f t="shared" si="2"/>
        <v>0</v>
      </c>
      <c r="T39" s="51">
        <f t="shared" si="2"/>
        <v>297720</v>
      </c>
      <c r="U39" s="54">
        <f t="shared" si="2"/>
        <v>0</v>
      </c>
      <c r="V39" s="51">
        <f t="shared" si="2"/>
        <v>-23252</v>
      </c>
      <c r="W39" s="54">
        <f t="shared" si="2"/>
        <v>0</v>
      </c>
      <c r="X39" s="51">
        <f t="shared" si="2"/>
        <v>18920</v>
      </c>
      <c r="Y39" s="54">
        <f t="shared" si="2"/>
        <v>0</v>
      </c>
      <c r="Z39" s="51">
        <f t="shared" si="2"/>
        <v>-53278</v>
      </c>
      <c r="AA39" s="54">
        <f t="shared" si="2"/>
        <v>0</v>
      </c>
      <c r="AB39" s="54">
        <f t="shared" si="2"/>
        <v>-375714.18999999994</v>
      </c>
      <c r="AC39" s="44"/>
    </row>
    <row r="40" spans="1:29" ht="9.9499999999999993" customHeight="1" thickBot="1" x14ac:dyDescent="0.25">
      <c r="A40" s="1"/>
      <c r="B40" s="29"/>
      <c r="C40" s="47"/>
      <c r="D40" s="48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50"/>
      <c r="AB40" s="65"/>
      <c r="AC40" s="1"/>
    </row>
    <row r="41" spans="1:29" s="45" customFormat="1" ht="15.75" thickBot="1" x14ac:dyDescent="0.25">
      <c r="A41" s="44"/>
      <c r="B41" s="36" t="s">
        <v>28</v>
      </c>
      <c r="C41" s="54">
        <f>'Forecast - Current'!C41</f>
        <v>871620</v>
      </c>
      <c r="D41" s="52">
        <f>C41</f>
        <v>871620</v>
      </c>
      <c r="E41" s="56">
        <f>C41</f>
        <v>871620</v>
      </c>
      <c r="F41" s="53">
        <f>D43</f>
        <v>827537</v>
      </c>
      <c r="G41" s="56">
        <f>E43</f>
        <v>827537</v>
      </c>
      <c r="H41" s="53">
        <f>F43</f>
        <v>856762</v>
      </c>
      <c r="I41" s="56">
        <f t="shared" ref="I41:AA41" si="3">G43</f>
        <v>856762</v>
      </c>
      <c r="J41" s="53">
        <f t="shared" si="3"/>
        <v>826459</v>
      </c>
      <c r="K41" s="56">
        <f t="shared" si="3"/>
        <v>826459</v>
      </c>
      <c r="L41" s="53">
        <f t="shared" si="3"/>
        <v>605900.5</v>
      </c>
      <c r="M41" s="56">
        <f t="shared" si="3"/>
        <v>605900.5</v>
      </c>
      <c r="N41" s="53">
        <f t="shared" si="3"/>
        <v>513675.5</v>
      </c>
      <c r="O41" s="56">
        <f t="shared" si="3"/>
        <v>579696.5</v>
      </c>
      <c r="P41" s="53">
        <f t="shared" si="3"/>
        <v>470628.5</v>
      </c>
      <c r="Q41" s="56">
        <f t="shared" si="3"/>
        <v>612510.5</v>
      </c>
      <c r="R41" s="53">
        <f t="shared" si="3"/>
        <v>436794.5</v>
      </c>
      <c r="S41" s="56">
        <f t="shared" si="3"/>
        <v>495905.81000000006</v>
      </c>
      <c r="T41" s="53">
        <f t="shared" si="3"/>
        <v>424815.5</v>
      </c>
      <c r="U41" s="56">
        <f t="shared" si="3"/>
        <v>495905.81000000006</v>
      </c>
      <c r="V41" s="53">
        <f t="shared" si="3"/>
        <v>722535.5</v>
      </c>
      <c r="W41" s="56">
        <f t="shared" si="3"/>
        <v>495905.81000000006</v>
      </c>
      <c r="X41" s="53">
        <f t="shared" si="3"/>
        <v>699283.5</v>
      </c>
      <c r="Y41" s="56">
        <f t="shared" si="3"/>
        <v>495905.81000000006</v>
      </c>
      <c r="Z41" s="53">
        <f t="shared" si="3"/>
        <v>718203.5</v>
      </c>
      <c r="AA41" s="56">
        <f t="shared" si="3"/>
        <v>495905.81000000006</v>
      </c>
      <c r="AB41" s="54">
        <f>C41</f>
        <v>871620</v>
      </c>
      <c r="AC41" s="44"/>
    </row>
    <row r="42" spans="1:29" ht="9.9499999999999993" customHeight="1" thickBot="1" x14ac:dyDescent="0.25">
      <c r="A42" s="1"/>
      <c r="B42" s="29"/>
      <c r="C42" s="47"/>
      <c r="D42" s="48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50"/>
      <c r="AB42" s="65"/>
      <c r="AC42" s="1"/>
    </row>
    <row r="43" spans="1:29" s="45" customFormat="1" ht="15.75" thickBot="1" x14ac:dyDescent="0.25">
      <c r="A43" s="44"/>
      <c r="B43" s="36" t="s">
        <v>31</v>
      </c>
      <c r="C43" s="54">
        <f>C41+C39</f>
        <v>664926</v>
      </c>
      <c r="D43" s="52">
        <f>D41+D39</f>
        <v>827537</v>
      </c>
      <c r="E43" s="55">
        <f>E41+E39</f>
        <v>827537</v>
      </c>
      <c r="F43" s="52">
        <f>F41+F39</f>
        <v>856762</v>
      </c>
      <c r="G43" s="55">
        <f t="shared" ref="G43:AB43" si="4">G41+G39</f>
        <v>856762</v>
      </c>
      <c r="H43" s="52">
        <f t="shared" si="4"/>
        <v>826459</v>
      </c>
      <c r="I43" s="55">
        <f t="shared" si="4"/>
        <v>826459</v>
      </c>
      <c r="J43" s="52">
        <f t="shared" si="4"/>
        <v>605900.5</v>
      </c>
      <c r="K43" s="55">
        <f t="shared" si="4"/>
        <v>605900.5</v>
      </c>
      <c r="L43" s="52">
        <f t="shared" si="4"/>
        <v>513675.5</v>
      </c>
      <c r="M43" s="55">
        <f t="shared" si="4"/>
        <v>579696.5</v>
      </c>
      <c r="N43" s="52">
        <f t="shared" si="4"/>
        <v>470628.5</v>
      </c>
      <c r="O43" s="55">
        <f t="shared" si="4"/>
        <v>612510.5</v>
      </c>
      <c r="P43" s="52">
        <f t="shared" si="4"/>
        <v>436794.5</v>
      </c>
      <c r="Q43" s="55">
        <f t="shared" si="4"/>
        <v>495905.81000000006</v>
      </c>
      <c r="R43" s="52">
        <f t="shared" si="4"/>
        <v>424815.5</v>
      </c>
      <c r="S43" s="55">
        <f t="shared" si="4"/>
        <v>495905.81000000006</v>
      </c>
      <c r="T43" s="52">
        <f t="shared" si="4"/>
        <v>722535.5</v>
      </c>
      <c r="U43" s="55">
        <f t="shared" si="4"/>
        <v>495905.81000000006</v>
      </c>
      <c r="V43" s="52">
        <f t="shared" si="4"/>
        <v>699283.5</v>
      </c>
      <c r="W43" s="55">
        <f t="shared" si="4"/>
        <v>495905.81000000006</v>
      </c>
      <c r="X43" s="52">
        <f t="shared" si="4"/>
        <v>718203.5</v>
      </c>
      <c r="Y43" s="55">
        <f t="shared" si="4"/>
        <v>495905.81000000006</v>
      </c>
      <c r="Z43" s="52">
        <f t="shared" si="4"/>
        <v>664925.5</v>
      </c>
      <c r="AA43" s="55">
        <f t="shared" si="4"/>
        <v>495905.81000000006</v>
      </c>
      <c r="AB43" s="55">
        <f t="shared" si="4"/>
        <v>495905.81000000006</v>
      </c>
      <c r="AC43" s="44"/>
    </row>
    <row r="44" spans="1:29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44"/>
      <c r="AC44" s="1"/>
    </row>
  </sheetData>
  <sheetProtection password="9D59" sheet="1" objects="1" scenarios="1" selectLockedCells="1"/>
  <mergeCells count="53">
    <mergeCell ref="C5:C6"/>
    <mergeCell ref="D5:D6"/>
    <mergeCell ref="F5:F6"/>
    <mergeCell ref="H5:H6"/>
    <mergeCell ref="J5:J6"/>
    <mergeCell ref="E5:E6"/>
    <mergeCell ref="G5:G6"/>
    <mergeCell ref="I5:I6"/>
    <mergeCell ref="AB24:AB25"/>
    <mergeCell ref="S24:S25"/>
    <mergeCell ref="U24:U25"/>
    <mergeCell ref="W24:W25"/>
    <mergeCell ref="Z5:Z6"/>
    <mergeCell ref="AB5:AB6"/>
    <mergeCell ref="T5:T6"/>
    <mergeCell ref="V5:V6"/>
    <mergeCell ref="X5:X6"/>
    <mergeCell ref="S5:S6"/>
    <mergeCell ref="U5:U6"/>
    <mergeCell ref="W5:W6"/>
    <mergeCell ref="Z24:Z25"/>
    <mergeCell ref="AA5:AA6"/>
    <mergeCell ref="AA24:AA25"/>
    <mergeCell ref="M5:M6"/>
    <mergeCell ref="M24:M25"/>
    <mergeCell ref="O5:O6"/>
    <mergeCell ref="O24:O25"/>
    <mergeCell ref="Q5:Q6"/>
    <mergeCell ref="Q24:Q25"/>
    <mergeCell ref="N5:N6"/>
    <mergeCell ref="P5:P6"/>
    <mergeCell ref="R24:R25"/>
    <mergeCell ref="T24:T25"/>
    <mergeCell ref="V24:V25"/>
    <mergeCell ref="X24:X25"/>
    <mergeCell ref="N24:N25"/>
    <mergeCell ref="P24:P25"/>
    <mergeCell ref="R5:R6"/>
    <mergeCell ref="B2:C2"/>
    <mergeCell ref="K5:K6"/>
    <mergeCell ref="K24:K25"/>
    <mergeCell ref="Y5:Y6"/>
    <mergeCell ref="Y24:Y25"/>
    <mergeCell ref="C24:C25"/>
    <mergeCell ref="D24:D25"/>
    <mergeCell ref="F24:F25"/>
    <mergeCell ref="H24:H25"/>
    <mergeCell ref="J24:J25"/>
    <mergeCell ref="E24:E25"/>
    <mergeCell ref="G24:G25"/>
    <mergeCell ref="I24:I25"/>
    <mergeCell ref="L24:L25"/>
    <mergeCell ref="L5:L6"/>
  </mergeCells>
  <pageMargins left="0.70866141732283472" right="0.70866141732283472" top="0.74803149606299213" bottom="0.74803149606299213" header="0.31496062992125984" footer="0.31496062992125984"/>
  <pageSetup paperSize="9" scale="80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workbookViewId="0">
      <selection activeCell="I40" sqref="I40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1.6640625" style="2" customWidth="1"/>
    <col min="6" max="6" width="9.88671875" style="2" customWidth="1"/>
    <col min="7" max="7" width="24" style="2" customWidth="1"/>
    <col min="8" max="8" width="12.88671875" style="143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</row>
    <row r="2" spans="1:9" ht="20.25" thickBot="1" x14ac:dyDescent="0.3">
      <c r="A2" s="1"/>
      <c r="B2" s="216" t="s">
        <v>49</v>
      </c>
      <c r="C2" s="217"/>
      <c r="D2" s="1"/>
    </row>
    <row r="3" spans="1:9" ht="20.25" thickBot="1" x14ac:dyDescent="0.3">
      <c r="A3" s="1"/>
      <c r="B3" s="218" t="s">
        <v>50</v>
      </c>
      <c r="C3" s="219"/>
      <c r="D3" s="1"/>
      <c r="F3" s="220" t="s">
        <v>67</v>
      </c>
      <c r="G3" s="220"/>
    </row>
    <row r="4" spans="1:9" x14ac:dyDescent="0.2">
      <c r="A4" s="1"/>
      <c r="B4" s="37">
        <v>1</v>
      </c>
      <c r="C4" s="40" t="s">
        <v>81</v>
      </c>
      <c r="D4" s="1"/>
      <c r="F4" s="213"/>
      <c r="G4" s="213"/>
      <c r="H4" s="154" t="s">
        <v>15</v>
      </c>
      <c r="I4" s="155" t="s">
        <v>75</v>
      </c>
    </row>
    <row r="5" spans="1:9" x14ac:dyDescent="0.2">
      <c r="A5" s="1"/>
      <c r="B5" s="38">
        <f t="shared" ref="B5:B28" si="0">B4+1</f>
        <v>2</v>
      </c>
      <c r="C5" s="40" t="s">
        <v>82</v>
      </c>
      <c r="D5" s="1"/>
      <c r="F5" s="209" t="s">
        <v>68</v>
      </c>
      <c r="G5" s="209"/>
      <c r="H5" s="147">
        <v>4040449</v>
      </c>
      <c r="I5" s="146" t="s">
        <v>76</v>
      </c>
    </row>
    <row r="6" spans="1:9" x14ac:dyDescent="0.2">
      <c r="A6" s="1"/>
      <c r="B6" s="38">
        <f t="shared" si="0"/>
        <v>3</v>
      </c>
      <c r="C6" s="39" t="s">
        <v>89</v>
      </c>
      <c r="D6" s="1"/>
      <c r="F6" s="209" t="s">
        <v>69</v>
      </c>
      <c r="G6" s="209"/>
      <c r="H6" s="147">
        <v>117810</v>
      </c>
      <c r="I6" s="146" t="s">
        <v>77</v>
      </c>
    </row>
    <row r="7" spans="1:9" x14ac:dyDescent="0.2">
      <c r="A7" s="1"/>
      <c r="B7" s="38">
        <f t="shared" si="0"/>
        <v>4</v>
      </c>
      <c r="C7" s="39" t="s">
        <v>90</v>
      </c>
      <c r="D7" s="1"/>
      <c r="F7" s="209" t="s">
        <v>70</v>
      </c>
      <c r="G7" s="209"/>
      <c r="H7" s="147">
        <v>1568028</v>
      </c>
      <c r="I7" s="146" t="s">
        <v>78</v>
      </c>
    </row>
    <row r="8" spans="1:9" x14ac:dyDescent="0.2">
      <c r="A8" s="1"/>
      <c r="B8" s="38">
        <f t="shared" si="0"/>
        <v>5</v>
      </c>
      <c r="C8" s="39" t="s">
        <v>119</v>
      </c>
      <c r="D8" s="1"/>
      <c r="F8" s="209" t="s">
        <v>71</v>
      </c>
      <c r="G8" s="209"/>
      <c r="H8" s="147">
        <v>18738</v>
      </c>
      <c r="I8" s="146" t="s">
        <v>79</v>
      </c>
    </row>
    <row r="9" spans="1:9" x14ac:dyDescent="0.2">
      <c r="A9" s="1"/>
      <c r="B9" s="38">
        <f t="shared" si="0"/>
        <v>6</v>
      </c>
      <c r="C9" s="39" t="s">
        <v>120</v>
      </c>
      <c r="D9" s="1"/>
      <c r="F9" s="209" t="s">
        <v>72</v>
      </c>
      <c r="G9" s="209"/>
      <c r="H9" s="147">
        <v>24064</v>
      </c>
      <c r="I9" s="146" t="s">
        <v>13</v>
      </c>
    </row>
    <row r="10" spans="1:9" x14ac:dyDescent="0.2">
      <c r="A10" s="1"/>
      <c r="B10" s="150">
        <f t="shared" si="0"/>
        <v>7</v>
      </c>
      <c r="C10" s="152" t="s">
        <v>104</v>
      </c>
      <c r="D10" s="1"/>
      <c r="F10" s="209" t="s">
        <v>73</v>
      </c>
      <c r="G10" s="209"/>
      <c r="H10" s="147">
        <v>34422</v>
      </c>
      <c r="I10" s="146" t="s">
        <v>11</v>
      </c>
    </row>
    <row r="11" spans="1:9" x14ac:dyDescent="0.2">
      <c r="A11" s="1"/>
      <c r="B11" s="38">
        <f t="shared" si="0"/>
        <v>8</v>
      </c>
      <c r="C11" s="39" t="s">
        <v>116</v>
      </c>
      <c r="D11" s="1"/>
      <c r="F11" s="209" t="s">
        <v>74</v>
      </c>
      <c r="G11" s="209"/>
      <c r="H11" s="147">
        <v>18907</v>
      </c>
      <c r="I11" s="146" t="s">
        <v>80</v>
      </c>
    </row>
    <row r="12" spans="1:9" x14ac:dyDescent="0.2">
      <c r="A12" s="1"/>
      <c r="B12" s="38">
        <f t="shared" si="0"/>
        <v>9</v>
      </c>
      <c r="C12" s="39" t="s">
        <v>90</v>
      </c>
      <c r="D12" s="1"/>
      <c r="F12" s="210" t="s">
        <v>15</v>
      </c>
      <c r="G12" s="210"/>
      <c r="H12" s="148">
        <f>SUM(H5:H11)</f>
        <v>5822418</v>
      </c>
    </row>
    <row r="13" spans="1:9" x14ac:dyDescent="0.2">
      <c r="A13" s="1"/>
      <c r="B13" s="38">
        <f t="shared" si="0"/>
        <v>10</v>
      </c>
      <c r="C13" s="39"/>
      <c r="D13" s="1"/>
      <c r="H13" s="144"/>
    </row>
    <row r="14" spans="1:9" x14ac:dyDescent="0.2">
      <c r="A14" s="1"/>
      <c r="B14" s="38">
        <f t="shared" si="0"/>
        <v>11</v>
      </c>
      <c r="C14" s="39"/>
      <c r="D14" s="1"/>
      <c r="F14" s="214" t="s">
        <v>83</v>
      </c>
      <c r="G14" s="214"/>
      <c r="H14" s="214"/>
    </row>
    <row r="15" spans="1:9" x14ac:dyDescent="0.2">
      <c r="A15" s="1"/>
      <c r="B15" s="38">
        <f t="shared" si="0"/>
        <v>12</v>
      </c>
      <c r="C15" s="39"/>
      <c r="D15" s="1"/>
      <c r="F15" s="213"/>
      <c r="G15" s="213"/>
      <c r="H15" s="154" t="s">
        <v>15</v>
      </c>
      <c r="I15" s="155" t="s">
        <v>75</v>
      </c>
    </row>
    <row r="16" spans="1:9" ht="45" x14ac:dyDescent="0.2">
      <c r="A16" s="1"/>
      <c r="B16" s="38">
        <f t="shared" si="0"/>
        <v>13</v>
      </c>
      <c r="C16" s="39"/>
      <c r="D16" s="1"/>
      <c r="F16" s="215" t="s">
        <v>84</v>
      </c>
      <c r="G16" s="215"/>
      <c r="H16" s="149">
        <v>60718</v>
      </c>
      <c r="I16" s="150" t="s">
        <v>87</v>
      </c>
    </row>
    <row r="17" spans="1:11" ht="45" x14ac:dyDescent="0.2">
      <c r="A17" s="1"/>
      <c r="B17" s="38">
        <f t="shared" si="0"/>
        <v>14</v>
      </c>
      <c r="C17" s="39"/>
      <c r="D17" s="1"/>
      <c r="F17" s="215" t="s">
        <v>85</v>
      </c>
      <c r="G17" s="215"/>
      <c r="H17" s="149">
        <v>25500</v>
      </c>
      <c r="I17" s="150" t="s">
        <v>88</v>
      </c>
    </row>
    <row r="18" spans="1:11" x14ac:dyDescent="0.2">
      <c r="A18" s="1"/>
      <c r="B18" s="38">
        <f t="shared" si="0"/>
        <v>15</v>
      </c>
      <c r="C18" s="39"/>
      <c r="D18" s="1"/>
      <c r="F18" s="215" t="s">
        <v>86</v>
      </c>
      <c r="G18" s="215"/>
      <c r="H18" s="149">
        <v>310975</v>
      </c>
      <c r="I18" s="151" t="s">
        <v>11</v>
      </c>
    </row>
    <row r="19" spans="1:11" x14ac:dyDescent="0.2">
      <c r="A19" s="1"/>
      <c r="B19" s="38">
        <f t="shared" si="0"/>
        <v>16</v>
      </c>
      <c r="C19" s="39"/>
      <c r="D19" s="1"/>
      <c r="F19" s="210" t="s">
        <v>15</v>
      </c>
      <c r="G19" s="210"/>
      <c r="H19" s="148">
        <f>SUM(H16:H18)</f>
        <v>397193</v>
      </c>
    </row>
    <row r="20" spans="1:11" x14ac:dyDescent="0.2">
      <c r="A20" s="1"/>
      <c r="B20" s="38">
        <f t="shared" si="0"/>
        <v>17</v>
      </c>
      <c r="C20" s="39"/>
      <c r="D20" s="1"/>
    </row>
    <row r="21" spans="1:11" x14ac:dyDescent="0.2">
      <c r="A21" s="1"/>
      <c r="B21" s="38">
        <f t="shared" si="0"/>
        <v>18</v>
      </c>
      <c r="C21" s="39"/>
      <c r="D21" s="1"/>
      <c r="F21" s="214" t="s">
        <v>117</v>
      </c>
      <c r="G21" s="214"/>
      <c r="H21" s="214"/>
      <c r="I21" s="214"/>
    </row>
    <row r="22" spans="1:11" x14ac:dyDescent="0.2">
      <c r="A22" s="1"/>
      <c r="B22" s="38">
        <f t="shared" si="0"/>
        <v>19</v>
      </c>
      <c r="C22" s="39"/>
      <c r="D22" s="1"/>
      <c r="F22" s="213"/>
      <c r="G22" s="213"/>
      <c r="H22" s="154" t="s">
        <v>15</v>
      </c>
      <c r="I22" s="155" t="s">
        <v>75</v>
      </c>
    </row>
    <row r="23" spans="1:11" x14ac:dyDescent="0.2">
      <c r="A23" s="1"/>
      <c r="B23" s="38">
        <f t="shared" si="0"/>
        <v>20</v>
      </c>
      <c r="C23" s="39"/>
      <c r="D23" s="1"/>
      <c r="F23" s="209" t="s">
        <v>94</v>
      </c>
      <c r="G23" s="209"/>
      <c r="H23" s="147">
        <v>-95000</v>
      </c>
      <c r="I23" s="146" t="s">
        <v>95</v>
      </c>
    </row>
    <row r="24" spans="1:11" x14ac:dyDescent="0.2">
      <c r="A24" s="1"/>
      <c r="B24" s="38">
        <f t="shared" si="0"/>
        <v>21</v>
      </c>
      <c r="C24" s="39"/>
      <c r="D24" s="1"/>
      <c r="F24" s="209" t="s">
        <v>96</v>
      </c>
      <c r="G24" s="209"/>
      <c r="H24" s="147">
        <v>-22250</v>
      </c>
      <c r="I24" s="146" t="s">
        <v>97</v>
      </c>
    </row>
    <row r="25" spans="1:11" x14ac:dyDescent="0.2">
      <c r="A25" s="1"/>
      <c r="B25" s="38">
        <f t="shared" si="0"/>
        <v>22</v>
      </c>
      <c r="C25" s="39"/>
      <c r="D25" s="1"/>
      <c r="F25" s="209" t="s">
        <v>98</v>
      </c>
      <c r="G25" s="209"/>
      <c r="H25" s="147">
        <v>-7043</v>
      </c>
      <c r="I25" s="146" t="s">
        <v>97</v>
      </c>
    </row>
    <row r="26" spans="1:11" x14ac:dyDescent="0.2">
      <c r="A26" s="1"/>
      <c r="B26" s="38">
        <f t="shared" si="0"/>
        <v>23</v>
      </c>
      <c r="C26" s="39"/>
      <c r="D26" s="1"/>
      <c r="F26" s="209" t="s">
        <v>99</v>
      </c>
      <c r="G26" s="209"/>
      <c r="H26" s="147">
        <v>-500</v>
      </c>
      <c r="I26" s="146" t="s">
        <v>100</v>
      </c>
    </row>
    <row r="27" spans="1:11" x14ac:dyDescent="0.2">
      <c r="A27" s="1"/>
      <c r="B27" s="38">
        <f t="shared" si="0"/>
        <v>24</v>
      </c>
      <c r="C27" s="39"/>
      <c r="D27" s="1"/>
      <c r="F27" s="209" t="s">
        <v>101</v>
      </c>
      <c r="G27" s="209"/>
      <c r="H27" s="147">
        <v>-21936</v>
      </c>
      <c r="I27" s="146" t="s">
        <v>102</v>
      </c>
      <c r="K27" s="153"/>
    </row>
    <row r="28" spans="1:11" x14ac:dyDescent="0.2">
      <c r="A28" s="1"/>
      <c r="B28" s="38">
        <f t="shared" si="0"/>
        <v>25</v>
      </c>
      <c r="C28" s="39"/>
      <c r="D28" s="1"/>
      <c r="F28" s="210" t="s">
        <v>15</v>
      </c>
      <c r="G28" s="210"/>
      <c r="H28" s="148">
        <f>SUM(H23:H27)</f>
        <v>-146729</v>
      </c>
      <c r="I28" s="3"/>
    </row>
    <row r="29" spans="1:11" x14ac:dyDescent="0.2">
      <c r="A29" s="1"/>
      <c r="B29" s="1"/>
      <c r="C29" s="1"/>
      <c r="D29" s="1"/>
    </row>
    <row r="30" spans="1:11" x14ac:dyDescent="0.2">
      <c r="F30" s="214" t="s">
        <v>105</v>
      </c>
      <c r="G30" s="214"/>
      <c r="H30" s="214"/>
      <c r="I30" s="214"/>
    </row>
    <row r="31" spans="1:11" x14ac:dyDescent="0.2">
      <c r="F31" s="213"/>
      <c r="G31" s="213"/>
      <c r="H31" s="154" t="s">
        <v>15</v>
      </c>
      <c r="I31" s="155" t="s">
        <v>75</v>
      </c>
    </row>
    <row r="32" spans="1:11" x14ac:dyDescent="0.2">
      <c r="F32" s="209" t="s">
        <v>103</v>
      </c>
      <c r="G32" s="209"/>
      <c r="H32" s="147">
        <v>-10000</v>
      </c>
      <c r="I32" s="146"/>
    </row>
    <row r="33" spans="6:9" x14ac:dyDescent="0.2">
      <c r="F33" s="210" t="s">
        <v>15</v>
      </c>
      <c r="G33" s="210"/>
      <c r="H33" s="148">
        <f>SUM(H32:H32)</f>
        <v>-10000</v>
      </c>
      <c r="I33" s="3"/>
    </row>
    <row r="35" spans="6:9" x14ac:dyDescent="0.2">
      <c r="F35" s="214" t="s">
        <v>106</v>
      </c>
      <c r="G35" s="214"/>
      <c r="H35" s="214"/>
      <c r="I35" s="214"/>
    </row>
    <row r="36" spans="6:9" x14ac:dyDescent="0.2">
      <c r="F36" s="213"/>
      <c r="G36" s="213"/>
      <c r="H36" s="145" t="s">
        <v>15</v>
      </c>
      <c r="I36" s="146" t="s">
        <v>75</v>
      </c>
    </row>
    <row r="37" spans="6:9" x14ac:dyDescent="0.2">
      <c r="F37" s="209" t="s">
        <v>107</v>
      </c>
      <c r="G37" s="209"/>
      <c r="H37" s="147">
        <v>30000</v>
      </c>
      <c r="I37" s="146" t="s">
        <v>3</v>
      </c>
    </row>
    <row r="38" spans="6:9" x14ac:dyDescent="0.2">
      <c r="F38" s="211" t="s">
        <v>109</v>
      </c>
      <c r="G38" s="212"/>
      <c r="H38" s="147">
        <v>125000</v>
      </c>
      <c r="I38" s="146" t="s">
        <v>121</v>
      </c>
    </row>
    <row r="39" spans="6:9" x14ac:dyDescent="0.2">
      <c r="F39" s="209" t="s">
        <v>111</v>
      </c>
      <c r="G39" s="209"/>
      <c r="H39" s="147">
        <v>22878</v>
      </c>
      <c r="I39" s="146" t="s">
        <v>114</v>
      </c>
    </row>
    <row r="40" spans="6:9" x14ac:dyDescent="0.2">
      <c r="F40" s="209" t="s">
        <v>112</v>
      </c>
      <c r="G40" s="209"/>
      <c r="H40" s="147">
        <v>919721</v>
      </c>
      <c r="I40" s="146" t="s">
        <v>122</v>
      </c>
    </row>
    <row r="41" spans="6:9" x14ac:dyDescent="0.2">
      <c r="F41" s="210" t="s">
        <v>15</v>
      </c>
      <c r="G41" s="210"/>
      <c r="H41" s="148">
        <f>SUM(H37:H40)</f>
        <v>1097599</v>
      </c>
      <c r="I41" s="3"/>
    </row>
  </sheetData>
  <mergeCells count="37">
    <mergeCell ref="B2:C2"/>
    <mergeCell ref="B3:C3"/>
    <mergeCell ref="F3:G3"/>
    <mergeCell ref="F5:G5"/>
    <mergeCell ref="F6:G6"/>
    <mergeCell ref="F4:G4"/>
    <mergeCell ref="F12:G12"/>
    <mergeCell ref="F15:G15"/>
    <mergeCell ref="F16:G16"/>
    <mergeCell ref="F17:G17"/>
    <mergeCell ref="F7:G7"/>
    <mergeCell ref="F8:G8"/>
    <mergeCell ref="F9:G9"/>
    <mergeCell ref="F10:G10"/>
    <mergeCell ref="F11:G11"/>
    <mergeCell ref="F19:G19"/>
    <mergeCell ref="F14:H14"/>
    <mergeCell ref="F22:G22"/>
    <mergeCell ref="F23:G23"/>
    <mergeCell ref="F18:G18"/>
    <mergeCell ref="F33:G33"/>
    <mergeCell ref="F35:I35"/>
    <mergeCell ref="F37:G37"/>
    <mergeCell ref="F21:I21"/>
    <mergeCell ref="F30:I30"/>
    <mergeCell ref="F31:G31"/>
    <mergeCell ref="F32:G32"/>
    <mergeCell ref="F24:G24"/>
    <mergeCell ref="F25:G25"/>
    <mergeCell ref="F26:G26"/>
    <mergeCell ref="F27:G27"/>
    <mergeCell ref="F28:G28"/>
    <mergeCell ref="F39:G39"/>
    <mergeCell ref="F40:G40"/>
    <mergeCell ref="F41:G41"/>
    <mergeCell ref="F38:G38"/>
    <mergeCell ref="F36:G36"/>
  </mergeCells>
  <pageMargins left="0.7" right="0.7" top="0.75" bottom="0.75" header="0.3" footer="0.3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C32" sqref="C32"/>
    </sheetView>
  </sheetViews>
  <sheetFormatPr defaultRowHeight="15" x14ac:dyDescent="0.2"/>
  <cols>
    <col min="1" max="1" width="1.77734375" style="2" customWidth="1"/>
    <col min="2" max="2" width="5.33203125" style="2" customWidth="1"/>
    <col min="3" max="3" width="77" style="2" customWidth="1"/>
    <col min="4" max="4" width="1.77734375" style="2" customWidth="1"/>
    <col min="5" max="5" width="1.6640625" style="2" customWidth="1"/>
    <col min="6" max="6" width="9.88671875" style="2" customWidth="1"/>
    <col min="7" max="7" width="24" style="2" customWidth="1"/>
    <col min="8" max="8" width="12.88671875" style="143" customWidth="1"/>
    <col min="9" max="9" width="39" style="2" customWidth="1"/>
    <col min="10" max="16384" width="8.88671875" style="2"/>
  </cols>
  <sheetData>
    <row r="1" spans="1:9" ht="15.75" thickBot="1" x14ac:dyDescent="0.25">
      <c r="A1" s="1"/>
      <c r="B1" s="1"/>
      <c r="C1" s="1"/>
      <c r="D1" s="1"/>
    </row>
    <row r="2" spans="1:9" ht="20.25" thickBot="1" x14ac:dyDescent="0.3">
      <c r="A2" s="1"/>
      <c r="B2" s="216" t="s">
        <v>49</v>
      </c>
      <c r="C2" s="217"/>
      <c r="D2" s="1"/>
    </row>
    <row r="3" spans="1:9" ht="20.25" thickBot="1" x14ac:dyDescent="0.3">
      <c r="A3" s="1"/>
      <c r="B3" s="218" t="s">
        <v>50</v>
      </c>
      <c r="C3" s="219"/>
      <c r="D3" s="1"/>
      <c r="F3" s="220" t="s">
        <v>67</v>
      </c>
      <c r="G3" s="220"/>
    </row>
    <row r="4" spans="1:9" x14ac:dyDescent="0.2">
      <c r="A4" s="1"/>
      <c r="B4" s="37">
        <v>1</v>
      </c>
      <c r="C4" s="40" t="s">
        <v>81</v>
      </c>
      <c r="D4" s="1"/>
      <c r="F4" s="213"/>
      <c r="G4" s="213"/>
      <c r="H4" s="154" t="s">
        <v>15</v>
      </c>
      <c r="I4" s="155" t="s">
        <v>75</v>
      </c>
    </row>
    <row r="5" spans="1:9" x14ac:dyDescent="0.2">
      <c r="A5" s="1"/>
      <c r="B5" s="38">
        <f t="shared" ref="B5:B28" si="0">B4+1</f>
        <v>2</v>
      </c>
      <c r="C5" s="40" t="s">
        <v>82</v>
      </c>
      <c r="D5" s="1"/>
      <c r="F5" s="209" t="s">
        <v>68</v>
      </c>
      <c r="G5" s="209"/>
      <c r="H5" s="147">
        <v>4040449</v>
      </c>
      <c r="I5" s="157" t="s">
        <v>76</v>
      </c>
    </row>
    <row r="6" spans="1:9" x14ac:dyDescent="0.2">
      <c r="A6" s="1"/>
      <c r="B6" s="38">
        <f t="shared" si="0"/>
        <v>3</v>
      </c>
      <c r="C6" s="39" t="s">
        <v>89</v>
      </c>
      <c r="D6" s="1"/>
      <c r="F6" s="209" t="s">
        <v>69</v>
      </c>
      <c r="G6" s="209"/>
      <c r="H6" s="147">
        <v>117810</v>
      </c>
      <c r="I6" s="157" t="s">
        <v>77</v>
      </c>
    </row>
    <row r="7" spans="1:9" x14ac:dyDescent="0.2">
      <c r="A7" s="1"/>
      <c r="B7" s="38">
        <f t="shared" si="0"/>
        <v>4</v>
      </c>
      <c r="C7" s="39" t="s">
        <v>90</v>
      </c>
      <c r="D7" s="1"/>
      <c r="F7" s="209" t="s">
        <v>70</v>
      </c>
      <c r="G7" s="209"/>
      <c r="H7" s="147">
        <v>1568028</v>
      </c>
      <c r="I7" s="157" t="s">
        <v>78</v>
      </c>
    </row>
    <row r="8" spans="1:9" x14ac:dyDescent="0.2">
      <c r="A8" s="1"/>
      <c r="B8" s="38">
        <f t="shared" si="0"/>
        <v>5</v>
      </c>
      <c r="C8" s="39" t="s">
        <v>91</v>
      </c>
      <c r="D8" s="1"/>
      <c r="F8" s="209" t="s">
        <v>71</v>
      </c>
      <c r="G8" s="209"/>
      <c r="H8" s="147">
        <v>18738</v>
      </c>
      <c r="I8" s="157" t="s">
        <v>79</v>
      </c>
    </row>
    <row r="9" spans="1:9" x14ac:dyDescent="0.2">
      <c r="A9" s="1"/>
      <c r="B9" s="38">
        <f t="shared" si="0"/>
        <v>6</v>
      </c>
      <c r="C9" s="39" t="s">
        <v>93</v>
      </c>
      <c r="D9" s="1"/>
      <c r="F9" s="209" t="s">
        <v>72</v>
      </c>
      <c r="G9" s="209"/>
      <c r="H9" s="147">
        <v>24064</v>
      </c>
      <c r="I9" s="157" t="s">
        <v>13</v>
      </c>
    </row>
    <row r="10" spans="1:9" x14ac:dyDescent="0.2">
      <c r="A10" s="1"/>
      <c r="B10" s="150">
        <f t="shared" si="0"/>
        <v>7</v>
      </c>
      <c r="C10" s="152" t="s">
        <v>104</v>
      </c>
      <c r="D10" s="1"/>
      <c r="F10" s="209" t="s">
        <v>73</v>
      </c>
      <c r="G10" s="209"/>
      <c r="H10" s="147">
        <v>34422</v>
      </c>
      <c r="I10" s="157" t="s">
        <v>11</v>
      </c>
    </row>
    <row r="11" spans="1:9" x14ac:dyDescent="0.2">
      <c r="A11" s="1"/>
      <c r="B11" s="38">
        <f t="shared" si="0"/>
        <v>8</v>
      </c>
      <c r="C11" s="39" t="s">
        <v>116</v>
      </c>
      <c r="D11" s="1"/>
      <c r="F11" s="209" t="s">
        <v>74</v>
      </c>
      <c r="G11" s="209"/>
      <c r="H11" s="147">
        <v>18907</v>
      </c>
      <c r="I11" s="157" t="s">
        <v>80</v>
      </c>
    </row>
    <row r="12" spans="1:9" x14ac:dyDescent="0.2">
      <c r="A12" s="1"/>
      <c r="B12" s="38">
        <f t="shared" si="0"/>
        <v>9</v>
      </c>
      <c r="C12" s="39"/>
      <c r="D12" s="1"/>
      <c r="F12" s="210" t="s">
        <v>15</v>
      </c>
      <c r="G12" s="210"/>
      <c r="H12" s="148">
        <f>SUM(H5:H11)</f>
        <v>5822418</v>
      </c>
    </row>
    <row r="13" spans="1:9" x14ac:dyDescent="0.2">
      <c r="A13" s="1"/>
      <c r="B13" s="38">
        <f t="shared" si="0"/>
        <v>10</v>
      </c>
      <c r="C13" s="39"/>
      <c r="D13" s="1"/>
      <c r="H13" s="144"/>
    </row>
    <row r="14" spans="1:9" x14ac:dyDescent="0.2">
      <c r="A14" s="1"/>
      <c r="B14" s="38">
        <f t="shared" si="0"/>
        <v>11</v>
      </c>
      <c r="C14" s="39"/>
      <c r="D14" s="1"/>
      <c r="F14" s="214" t="s">
        <v>83</v>
      </c>
      <c r="G14" s="214"/>
      <c r="H14" s="214"/>
    </row>
    <row r="15" spans="1:9" x14ac:dyDescent="0.2">
      <c r="A15" s="1"/>
      <c r="B15" s="38">
        <f t="shared" si="0"/>
        <v>12</v>
      </c>
      <c r="C15" s="39"/>
      <c r="D15" s="1"/>
      <c r="F15" s="213"/>
      <c r="G15" s="213"/>
      <c r="H15" s="154" t="s">
        <v>15</v>
      </c>
      <c r="I15" s="155" t="s">
        <v>75</v>
      </c>
    </row>
    <row r="16" spans="1:9" ht="45" x14ac:dyDescent="0.2">
      <c r="A16" s="1"/>
      <c r="B16" s="38">
        <f t="shared" si="0"/>
        <v>13</v>
      </c>
      <c r="C16" s="39"/>
      <c r="D16" s="1"/>
      <c r="F16" s="215" t="s">
        <v>84</v>
      </c>
      <c r="G16" s="215"/>
      <c r="H16" s="149">
        <v>60718</v>
      </c>
      <c r="I16" s="150" t="s">
        <v>87</v>
      </c>
    </row>
    <row r="17" spans="1:11" ht="45" x14ac:dyDescent="0.2">
      <c r="A17" s="1"/>
      <c r="B17" s="38">
        <f t="shared" si="0"/>
        <v>14</v>
      </c>
      <c r="C17" s="39"/>
      <c r="D17" s="1"/>
      <c r="F17" s="215" t="s">
        <v>85</v>
      </c>
      <c r="G17" s="215"/>
      <c r="H17" s="149">
        <v>25500</v>
      </c>
      <c r="I17" s="150" t="s">
        <v>88</v>
      </c>
    </row>
    <row r="18" spans="1:11" x14ac:dyDescent="0.2">
      <c r="A18" s="1"/>
      <c r="B18" s="38">
        <f t="shared" si="0"/>
        <v>15</v>
      </c>
      <c r="C18" s="39"/>
      <c r="D18" s="1"/>
      <c r="F18" s="215" t="s">
        <v>86</v>
      </c>
      <c r="G18" s="215"/>
      <c r="H18" s="149">
        <v>310975</v>
      </c>
      <c r="I18" s="158" t="s">
        <v>11</v>
      </c>
    </row>
    <row r="19" spans="1:11" x14ac:dyDescent="0.2">
      <c r="A19" s="1"/>
      <c r="B19" s="38">
        <f t="shared" si="0"/>
        <v>16</v>
      </c>
      <c r="C19" s="39"/>
      <c r="D19" s="1"/>
      <c r="F19" s="210" t="s">
        <v>15</v>
      </c>
      <c r="G19" s="210"/>
      <c r="H19" s="148">
        <f>SUM(H16:H18)</f>
        <v>397193</v>
      </c>
    </row>
    <row r="20" spans="1:11" x14ac:dyDescent="0.2">
      <c r="A20" s="1"/>
      <c r="B20" s="38">
        <f t="shared" si="0"/>
        <v>17</v>
      </c>
      <c r="C20" s="39"/>
      <c r="D20" s="1"/>
    </row>
    <row r="21" spans="1:11" x14ac:dyDescent="0.2">
      <c r="A21" s="1"/>
      <c r="B21" s="38">
        <f t="shared" si="0"/>
        <v>18</v>
      </c>
      <c r="C21" s="39"/>
      <c r="D21" s="1"/>
      <c r="F21" s="214" t="s">
        <v>117</v>
      </c>
      <c r="G21" s="214"/>
      <c r="H21" s="214"/>
      <c r="I21" s="214"/>
    </row>
    <row r="22" spans="1:11" x14ac:dyDescent="0.2">
      <c r="A22" s="1"/>
      <c r="B22" s="38">
        <f t="shared" si="0"/>
        <v>19</v>
      </c>
      <c r="C22" s="39"/>
      <c r="D22" s="1"/>
      <c r="F22" s="213"/>
      <c r="G22" s="213"/>
      <c r="H22" s="154" t="s">
        <v>15</v>
      </c>
      <c r="I22" s="155" t="s">
        <v>75</v>
      </c>
    </row>
    <row r="23" spans="1:11" x14ac:dyDescent="0.2">
      <c r="A23" s="1"/>
      <c r="B23" s="38">
        <f t="shared" si="0"/>
        <v>20</v>
      </c>
      <c r="C23" s="39"/>
      <c r="D23" s="1"/>
      <c r="F23" s="209" t="s">
        <v>94</v>
      </c>
      <c r="G23" s="209"/>
      <c r="H23" s="147">
        <v>-95000</v>
      </c>
      <c r="I23" s="157" t="s">
        <v>95</v>
      </c>
    </row>
    <row r="24" spans="1:11" x14ac:dyDescent="0.2">
      <c r="A24" s="1"/>
      <c r="B24" s="38">
        <f t="shared" si="0"/>
        <v>21</v>
      </c>
      <c r="C24" s="39"/>
      <c r="D24" s="1"/>
      <c r="F24" s="209" t="s">
        <v>96</v>
      </c>
      <c r="G24" s="209"/>
      <c r="H24" s="147">
        <v>-22250</v>
      </c>
      <c r="I24" s="157" t="s">
        <v>97</v>
      </c>
    </row>
    <row r="25" spans="1:11" x14ac:dyDescent="0.2">
      <c r="A25" s="1"/>
      <c r="B25" s="38">
        <f t="shared" si="0"/>
        <v>22</v>
      </c>
      <c r="C25" s="39"/>
      <c r="D25" s="1"/>
      <c r="F25" s="209" t="s">
        <v>98</v>
      </c>
      <c r="G25" s="209"/>
      <c r="H25" s="147">
        <v>-7043</v>
      </c>
      <c r="I25" s="157" t="s">
        <v>97</v>
      </c>
    </row>
    <row r="26" spans="1:11" x14ac:dyDescent="0.2">
      <c r="A26" s="1"/>
      <c r="B26" s="38">
        <f t="shared" si="0"/>
        <v>23</v>
      </c>
      <c r="C26" s="39"/>
      <c r="D26" s="1"/>
      <c r="F26" s="209" t="s">
        <v>99</v>
      </c>
      <c r="G26" s="209"/>
      <c r="H26" s="147">
        <v>-500</v>
      </c>
      <c r="I26" s="157" t="s">
        <v>100</v>
      </c>
    </row>
    <row r="27" spans="1:11" x14ac:dyDescent="0.2">
      <c r="A27" s="1"/>
      <c r="B27" s="38">
        <f t="shared" si="0"/>
        <v>24</v>
      </c>
      <c r="C27" s="39"/>
      <c r="D27" s="1"/>
      <c r="F27" s="209" t="s">
        <v>101</v>
      </c>
      <c r="G27" s="209"/>
      <c r="H27" s="147">
        <v>-21936</v>
      </c>
      <c r="I27" s="157" t="s">
        <v>102</v>
      </c>
      <c r="K27" s="153"/>
    </row>
    <row r="28" spans="1:11" x14ac:dyDescent="0.2">
      <c r="A28" s="1"/>
      <c r="B28" s="38">
        <f t="shared" si="0"/>
        <v>25</v>
      </c>
      <c r="C28" s="39"/>
      <c r="D28" s="1"/>
      <c r="F28" s="210" t="s">
        <v>15</v>
      </c>
      <c r="G28" s="210"/>
      <c r="H28" s="148">
        <f>SUM(H23:H27)</f>
        <v>-146729</v>
      </c>
      <c r="I28" s="3"/>
    </row>
    <row r="29" spans="1:11" x14ac:dyDescent="0.2">
      <c r="A29" s="1"/>
      <c r="B29" s="1"/>
      <c r="C29" s="1"/>
      <c r="D29" s="1"/>
    </row>
    <row r="30" spans="1:11" x14ac:dyDescent="0.2">
      <c r="F30" s="214" t="s">
        <v>105</v>
      </c>
      <c r="G30" s="214"/>
      <c r="H30" s="214"/>
      <c r="I30" s="214"/>
    </row>
    <row r="31" spans="1:11" x14ac:dyDescent="0.2">
      <c r="F31" s="213"/>
      <c r="G31" s="213"/>
      <c r="H31" s="154" t="s">
        <v>15</v>
      </c>
      <c r="I31" s="155" t="s">
        <v>75</v>
      </c>
    </row>
    <row r="32" spans="1:11" x14ac:dyDescent="0.2">
      <c r="F32" s="209" t="s">
        <v>103</v>
      </c>
      <c r="G32" s="209"/>
      <c r="H32" s="147">
        <v>-10000</v>
      </c>
      <c r="I32" s="157"/>
    </row>
    <row r="33" spans="6:9" x14ac:dyDescent="0.2">
      <c r="F33" s="210" t="s">
        <v>15</v>
      </c>
      <c r="G33" s="210"/>
      <c r="H33" s="148">
        <f>SUM(H32:H32)</f>
        <v>-10000</v>
      </c>
      <c r="I33" s="3"/>
    </row>
    <row r="35" spans="6:9" x14ac:dyDescent="0.2">
      <c r="F35" s="214" t="s">
        <v>106</v>
      </c>
      <c r="G35" s="214"/>
      <c r="H35" s="214"/>
      <c r="I35" s="214"/>
    </row>
    <row r="36" spans="6:9" x14ac:dyDescent="0.2">
      <c r="F36" s="213"/>
      <c r="G36" s="213"/>
      <c r="H36" s="145" t="s">
        <v>15</v>
      </c>
      <c r="I36" s="157" t="s">
        <v>75</v>
      </c>
    </row>
    <row r="37" spans="6:9" x14ac:dyDescent="0.2">
      <c r="F37" s="209" t="s">
        <v>107</v>
      </c>
      <c r="G37" s="209"/>
      <c r="H37" s="147">
        <v>30000</v>
      </c>
      <c r="I37" s="157" t="s">
        <v>3</v>
      </c>
    </row>
    <row r="38" spans="6:9" x14ac:dyDescent="0.2">
      <c r="F38" s="209" t="s">
        <v>73</v>
      </c>
      <c r="G38" s="209"/>
      <c r="H38" s="147">
        <v>34422</v>
      </c>
      <c r="I38" s="157" t="s">
        <v>108</v>
      </c>
    </row>
    <row r="39" spans="6:9" x14ac:dyDescent="0.2">
      <c r="F39" s="211" t="s">
        <v>109</v>
      </c>
      <c r="G39" s="212"/>
      <c r="H39" s="147">
        <v>125000</v>
      </c>
      <c r="I39" s="157" t="s">
        <v>115</v>
      </c>
    </row>
    <row r="40" spans="6:9" x14ac:dyDescent="0.2">
      <c r="F40" s="211" t="s">
        <v>71</v>
      </c>
      <c r="G40" s="212"/>
      <c r="H40" s="147">
        <v>18738</v>
      </c>
      <c r="I40" s="157" t="s">
        <v>110</v>
      </c>
    </row>
    <row r="41" spans="6:9" x14ac:dyDescent="0.2">
      <c r="F41" s="209" t="s">
        <v>111</v>
      </c>
      <c r="G41" s="209"/>
      <c r="H41" s="147">
        <v>22878</v>
      </c>
      <c r="I41" s="157" t="s">
        <v>114</v>
      </c>
    </row>
    <row r="42" spans="6:9" x14ac:dyDescent="0.2">
      <c r="F42" s="209" t="s">
        <v>112</v>
      </c>
      <c r="G42" s="209"/>
      <c r="H42" s="147">
        <v>919721</v>
      </c>
      <c r="I42" s="157" t="s">
        <v>113</v>
      </c>
    </row>
    <row r="43" spans="6:9" x14ac:dyDescent="0.2">
      <c r="F43" s="210" t="s">
        <v>15</v>
      </c>
      <c r="G43" s="210"/>
      <c r="H43" s="148">
        <f>SUM(H37:H42)</f>
        <v>1150759</v>
      </c>
      <c r="I43" s="3"/>
    </row>
  </sheetData>
  <mergeCells count="39">
    <mergeCell ref="F41:G41"/>
    <mergeCell ref="F42:G42"/>
    <mergeCell ref="F43:G43"/>
    <mergeCell ref="F35:I35"/>
    <mergeCell ref="F36:G36"/>
    <mergeCell ref="F37:G37"/>
    <mergeCell ref="F38:G38"/>
    <mergeCell ref="F39:G39"/>
    <mergeCell ref="F40:G40"/>
    <mergeCell ref="F33:G33"/>
    <mergeCell ref="F21:I21"/>
    <mergeCell ref="F22:G22"/>
    <mergeCell ref="F23:G23"/>
    <mergeCell ref="F24:G24"/>
    <mergeCell ref="F25:G25"/>
    <mergeCell ref="F26:G26"/>
    <mergeCell ref="F27:G27"/>
    <mergeCell ref="F28:G28"/>
    <mergeCell ref="F30:I30"/>
    <mergeCell ref="F31:G31"/>
    <mergeCell ref="F32:G32"/>
    <mergeCell ref="F19:G19"/>
    <mergeCell ref="F7:G7"/>
    <mergeCell ref="F8:G8"/>
    <mergeCell ref="F9:G9"/>
    <mergeCell ref="F10:G10"/>
    <mergeCell ref="F11:G11"/>
    <mergeCell ref="F12:G12"/>
    <mergeCell ref="F14:H14"/>
    <mergeCell ref="F15:G15"/>
    <mergeCell ref="F16:G16"/>
    <mergeCell ref="F17:G17"/>
    <mergeCell ref="F18:G18"/>
    <mergeCell ref="F6:G6"/>
    <mergeCell ref="B2:C2"/>
    <mergeCell ref="B3:C3"/>
    <mergeCell ref="F3:G3"/>
    <mergeCell ref="F4:G4"/>
    <mergeCell ref="F5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workbookViewId="0">
      <selection activeCell="D7" sqref="D7"/>
    </sheetView>
  </sheetViews>
  <sheetFormatPr defaultRowHeight="15" x14ac:dyDescent="0.2"/>
  <cols>
    <col min="1" max="1" width="1.77734375" style="2" customWidth="1"/>
    <col min="2" max="2" width="33.88671875" style="2" customWidth="1"/>
    <col min="3" max="16" width="11.77734375" style="2" customWidth="1"/>
    <col min="17" max="17" width="5.6640625" style="2" customWidth="1"/>
    <col min="18" max="18" width="1.77734375" style="2" customWidth="1"/>
    <col min="19" max="16384" width="8.88671875" style="2"/>
  </cols>
  <sheetData>
    <row r="1" spans="1:18" ht="9.9499999999999993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">
      <c r="A2" s="1"/>
      <c r="B2" s="156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1"/>
    </row>
    <row r="3" spans="1:18" ht="9.9499999999999993" customHeight="1" thickBot="1" x14ac:dyDescent="0.25">
      <c r="A3" s="1"/>
      <c r="B3" s="2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3"/>
      <c r="R3" s="1"/>
    </row>
    <row r="4" spans="1:18" ht="30.75" thickBot="1" x14ac:dyDescent="0.25">
      <c r="A4" s="1"/>
      <c r="B4" s="22"/>
      <c r="C4" s="42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0" t="s">
        <v>14</v>
      </c>
      <c r="P4" s="11" t="s">
        <v>15</v>
      </c>
      <c r="Q4" s="11" t="s">
        <v>48</v>
      </c>
      <c r="R4" s="1"/>
    </row>
    <row r="5" spans="1:18" x14ac:dyDescent="0.2">
      <c r="A5" s="1"/>
      <c r="B5" s="8" t="s">
        <v>1</v>
      </c>
      <c r="C5" s="169"/>
      <c r="D5" s="179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67"/>
      <c r="P5" s="169"/>
      <c r="Q5" s="171"/>
      <c r="R5" s="1"/>
    </row>
    <row r="6" spans="1:18" s="3" customFormat="1" ht="9.9499999999999993" customHeight="1" thickBot="1" x14ac:dyDescent="0.25">
      <c r="A6" s="4"/>
      <c r="B6" s="9"/>
      <c r="C6" s="170"/>
      <c r="D6" s="180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68"/>
      <c r="P6" s="170"/>
      <c r="Q6" s="172"/>
      <c r="R6" s="4"/>
    </row>
    <row r="7" spans="1:18" x14ac:dyDescent="0.2">
      <c r="A7" s="1"/>
      <c r="B7" s="12" t="s">
        <v>65</v>
      </c>
      <c r="C7" s="93">
        <v>5822418</v>
      </c>
      <c r="D7" s="94">
        <f>336704+130669+12492</f>
        <v>479865</v>
      </c>
      <c r="E7" s="94">
        <f>336704+130669+29452</f>
        <v>496825</v>
      </c>
      <c r="F7" s="94">
        <f t="shared" ref="F7:O7" si="0">336704+130669</f>
        <v>467373</v>
      </c>
      <c r="G7" s="94">
        <f t="shared" si="0"/>
        <v>467373</v>
      </c>
      <c r="H7" s="94">
        <f>336704+130669+29452</f>
        <v>496825</v>
      </c>
      <c r="I7" s="94">
        <f t="shared" si="0"/>
        <v>467373</v>
      </c>
      <c r="J7" s="94">
        <f>336704+130669+18907</f>
        <v>486280</v>
      </c>
      <c r="K7" s="94">
        <f>336704+130669+29452+6246</f>
        <v>503071</v>
      </c>
      <c r="L7" s="94">
        <f>336704+130669+34422</f>
        <v>501795</v>
      </c>
      <c r="M7" s="94">
        <f t="shared" si="0"/>
        <v>467373</v>
      </c>
      <c r="N7" s="94">
        <f>336704+130669+29452+24064</f>
        <v>520889</v>
      </c>
      <c r="O7" s="94">
        <f t="shared" si="0"/>
        <v>467373</v>
      </c>
      <c r="P7" s="99">
        <f>SUM(D7:O7)</f>
        <v>5822415</v>
      </c>
      <c r="Q7" s="134">
        <v>1</v>
      </c>
      <c r="R7" s="1"/>
    </row>
    <row r="8" spans="1:18" s="3" customFormat="1" ht="9.9499999999999993" customHeight="1" x14ac:dyDescent="0.2">
      <c r="A8" s="4"/>
      <c r="B8" s="5"/>
      <c r="C8" s="87"/>
      <c r="D8" s="88"/>
      <c r="E8" s="89"/>
      <c r="F8" s="89"/>
      <c r="G8" s="89"/>
      <c r="H8" s="89"/>
      <c r="I8" s="89"/>
      <c r="J8" s="89"/>
      <c r="K8" s="89"/>
      <c r="L8" s="89"/>
      <c r="M8" s="89"/>
      <c r="N8" s="89"/>
      <c r="O8" s="90"/>
      <c r="P8" s="92"/>
      <c r="Q8" s="135"/>
      <c r="R8" s="4"/>
    </row>
    <row r="9" spans="1:18" x14ac:dyDescent="0.2">
      <c r="A9" s="1"/>
      <c r="B9" s="7" t="s">
        <v>66</v>
      </c>
      <c r="C9" s="87">
        <v>397193</v>
      </c>
      <c r="D9" s="88"/>
      <c r="E9" s="89"/>
      <c r="F9" s="89">
        <f>20236+8500</f>
        <v>28736</v>
      </c>
      <c r="G9" s="89"/>
      <c r="H9" s="89"/>
      <c r="I9" s="89">
        <f>15177</f>
        <v>15177</v>
      </c>
      <c r="J9" s="89">
        <f>6375</f>
        <v>6375</v>
      </c>
      <c r="K9" s="89"/>
      <c r="L9" s="89">
        <f>310975</f>
        <v>310975</v>
      </c>
      <c r="M9" s="89">
        <f>10625</f>
        <v>10625</v>
      </c>
      <c r="N9" s="89">
        <v>25305</v>
      </c>
      <c r="O9" s="90"/>
      <c r="P9" s="92">
        <f>SUM(D9:O9)</f>
        <v>397193</v>
      </c>
      <c r="Q9" s="135">
        <v>2</v>
      </c>
      <c r="R9" s="1"/>
    </row>
    <row r="10" spans="1:18" s="3" customFormat="1" ht="9.9499999999999993" customHeight="1" x14ac:dyDescent="0.2">
      <c r="A10" s="4"/>
      <c r="B10" s="5"/>
      <c r="C10" s="87"/>
      <c r="D10" s="88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90"/>
      <c r="P10" s="92"/>
      <c r="Q10" s="135"/>
      <c r="R10" s="4"/>
    </row>
    <row r="11" spans="1:18" x14ac:dyDescent="0.2">
      <c r="A11" s="1"/>
      <c r="B11" s="7" t="s">
        <v>16</v>
      </c>
      <c r="C11" s="87">
        <v>165000</v>
      </c>
      <c r="D11" s="88">
        <v>13750</v>
      </c>
      <c r="E11" s="88">
        <v>13750</v>
      </c>
      <c r="F11" s="88">
        <v>13750</v>
      </c>
      <c r="G11" s="88">
        <v>13750</v>
      </c>
      <c r="H11" s="88">
        <v>13750</v>
      </c>
      <c r="I11" s="88">
        <v>13750</v>
      </c>
      <c r="J11" s="88">
        <v>13750</v>
      </c>
      <c r="K11" s="88">
        <v>13750</v>
      </c>
      <c r="L11" s="88">
        <v>13750</v>
      </c>
      <c r="M11" s="88">
        <v>13750</v>
      </c>
      <c r="N11" s="88">
        <v>13750</v>
      </c>
      <c r="O11" s="88">
        <v>13750</v>
      </c>
      <c r="P11" s="92">
        <f>SUM(D11:O11)</f>
        <v>165000</v>
      </c>
      <c r="Q11" s="135"/>
      <c r="R11" s="1"/>
    </row>
    <row r="12" spans="1:18" s="3" customFormat="1" ht="9.9499999999999993" customHeight="1" x14ac:dyDescent="0.2">
      <c r="A12" s="4"/>
      <c r="B12" s="5"/>
      <c r="C12" s="87"/>
      <c r="D12" s="88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92"/>
      <c r="Q12" s="135"/>
      <c r="R12" s="4"/>
    </row>
    <row r="13" spans="1:18" x14ac:dyDescent="0.2">
      <c r="A13" s="1"/>
      <c r="B13" s="7" t="s">
        <v>17</v>
      </c>
      <c r="C13" s="87">
        <v>0</v>
      </c>
      <c r="D13" s="88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92">
        <f>SUM(D13:O13)</f>
        <v>0</v>
      </c>
      <c r="Q13" s="135"/>
      <c r="R13" s="1"/>
    </row>
    <row r="14" spans="1:18" s="3" customFormat="1" ht="9.9499999999999993" customHeight="1" x14ac:dyDescent="0.2">
      <c r="A14" s="4"/>
      <c r="B14" s="5"/>
      <c r="C14" s="87"/>
      <c r="D14" s="88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92"/>
      <c r="Q14" s="135"/>
      <c r="R14" s="4"/>
    </row>
    <row r="15" spans="1:18" x14ac:dyDescent="0.2">
      <c r="A15" s="1"/>
      <c r="B15" s="7" t="s">
        <v>18</v>
      </c>
      <c r="C15" s="87">
        <v>36650</v>
      </c>
      <c r="D15" s="88">
        <v>1070</v>
      </c>
      <c r="E15" s="88">
        <v>1070</v>
      </c>
      <c r="F15" s="88">
        <v>1070</v>
      </c>
      <c r="G15" s="88">
        <v>1070</v>
      </c>
      <c r="H15" s="88">
        <v>1070</v>
      </c>
      <c r="I15" s="88">
        <v>1070</v>
      </c>
      <c r="J15" s="88">
        <v>1070</v>
      </c>
      <c r="K15" s="88">
        <v>1070</v>
      </c>
      <c r="L15" s="88">
        <v>1070</v>
      </c>
      <c r="M15" s="88">
        <f>1070+23800</f>
        <v>24870</v>
      </c>
      <c r="N15" s="88">
        <v>1070</v>
      </c>
      <c r="O15" s="88">
        <v>1080</v>
      </c>
      <c r="P15" s="92">
        <f>SUM(D15:O15)</f>
        <v>36650</v>
      </c>
      <c r="Q15" s="135">
        <v>3</v>
      </c>
      <c r="R15" s="1"/>
    </row>
    <row r="16" spans="1:18" s="3" customFormat="1" ht="9.9499999999999993" customHeight="1" x14ac:dyDescent="0.2">
      <c r="A16" s="4"/>
      <c r="B16" s="5"/>
      <c r="C16" s="87"/>
      <c r="D16" s="88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92"/>
      <c r="Q16" s="135"/>
      <c r="R16" s="4"/>
    </row>
    <row r="17" spans="1:18" x14ac:dyDescent="0.2">
      <c r="A17" s="1"/>
      <c r="B17" s="141" t="s">
        <v>19</v>
      </c>
      <c r="C17" s="87">
        <v>0</v>
      </c>
      <c r="D17" s="88"/>
      <c r="E17" s="88"/>
      <c r="F17" s="88"/>
      <c r="G17" s="88"/>
      <c r="H17" s="88"/>
      <c r="I17" s="89"/>
      <c r="J17" s="89"/>
      <c r="K17" s="89"/>
      <c r="L17" s="89"/>
      <c r="M17" s="89"/>
      <c r="N17" s="89"/>
      <c r="O17" s="90"/>
      <c r="P17" s="92">
        <f>SUM(D17:O17)</f>
        <v>0</v>
      </c>
      <c r="Q17" s="135"/>
      <c r="R17" s="1"/>
    </row>
    <row r="18" spans="1:18" x14ac:dyDescent="0.2">
      <c r="A18" s="1"/>
      <c r="B18" s="141" t="s">
        <v>19</v>
      </c>
      <c r="C18" s="87">
        <v>0</v>
      </c>
      <c r="D18" s="88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92">
        <f>SUM(D18:O18)</f>
        <v>0</v>
      </c>
      <c r="Q18" s="135"/>
      <c r="R18" s="1"/>
    </row>
    <row r="19" spans="1:18" s="3" customFormat="1" ht="9.9499999999999993" customHeight="1" x14ac:dyDescent="0.2">
      <c r="A19" s="4"/>
      <c r="B19" s="5"/>
      <c r="C19" s="87"/>
      <c r="D19" s="88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92"/>
      <c r="Q19" s="135"/>
      <c r="R19" s="4"/>
    </row>
    <row r="20" spans="1:18" ht="15.75" thickBot="1" x14ac:dyDescent="0.25">
      <c r="A20" s="1"/>
      <c r="B20" s="7" t="s">
        <v>20</v>
      </c>
      <c r="C20" s="95">
        <v>33137</v>
      </c>
      <c r="D20" s="96">
        <v>378</v>
      </c>
      <c r="E20" s="97">
        <v>20018</v>
      </c>
      <c r="F20" s="97">
        <v>12741</v>
      </c>
      <c r="G20" s="97"/>
      <c r="H20" s="97"/>
      <c r="I20" s="97"/>
      <c r="J20" s="97"/>
      <c r="K20" s="97"/>
      <c r="L20" s="97"/>
      <c r="M20" s="97"/>
      <c r="N20" s="97"/>
      <c r="O20" s="98"/>
      <c r="P20" s="100">
        <f>SUM(D20:O20)</f>
        <v>33137</v>
      </c>
      <c r="Q20" s="136">
        <v>4</v>
      </c>
      <c r="R20" s="1"/>
    </row>
    <row r="21" spans="1:18" ht="15.75" thickBot="1" x14ac:dyDescent="0.25">
      <c r="A21" s="1"/>
      <c r="B21" s="70" t="s">
        <v>21</v>
      </c>
      <c r="C21" s="72">
        <f>SUM(C7:C20)</f>
        <v>6454398</v>
      </c>
      <c r="D21" s="73">
        <f t="shared" ref="D21:O21" si="1">SUM(D7:D20)</f>
        <v>495063</v>
      </c>
      <c r="E21" s="73">
        <f t="shared" si="1"/>
        <v>531663</v>
      </c>
      <c r="F21" s="73">
        <f t="shared" si="1"/>
        <v>523670</v>
      </c>
      <c r="G21" s="73">
        <f t="shared" si="1"/>
        <v>482193</v>
      </c>
      <c r="H21" s="73">
        <f t="shared" si="1"/>
        <v>511645</v>
      </c>
      <c r="I21" s="73">
        <f t="shared" si="1"/>
        <v>497370</v>
      </c>
      <c r="J21" s="73">
        <f t="shared" si="1"/>
        <v>507475</v>
      </c>
      <c r="K21" s="73">
        <f t="shared" si="1"/>
        <v>517891</v>
      </c>
      <c r="L21" s="73">
        <f t="shared" si="1"/>
        <v>827590</v>
      </c>
      <c r="M21" s="73">
        <f t="shared" si="1"/>
        <v>516618</v>
      </c>
      <c r="N21" s="73">
        <f t="shared" si="1"/>
        <v>561014</v>
      </c>
      <c r="O21" s="74">
        <f t="shared" si="1"/>
        <v>482203</v>
      </c>
      <c r="P21" s="72">
        <f>SUM(D21:O21)</f>
        <v>6454395</v>
      </c>
      <c r="Q21" s="137"/>
      <c r="R21" s="1"/>
    </row>
    <row r="22" spans="1:18" ht="9.9499999999999993" customHeight="1" thickBot="1" x14ac:dyDescent="0.25">
      <c r="A22" s="1"/>
      <c r="B22" s="2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6"/>
      <c r="Q22" s="26"/>
      <c r="R22" s="1"/>
    </row>
    <row r="23" spans="1:18" ht="30.75" thickBot="1" x14ac:dyDescent="0.25">
      <c r="A23" s="1"/>
      <c r="B23" s="27"/>
      <c r="C23" s="43" t="s">
        <v>2</v>
      </c>
      <c r="D23" s="41" t="s">
        <v>3</v>
      </c>
      <c r="E23" s="10" t="s">
        <v>4</v>
      </c>
      <c r="F23" s="10" t="s">
        <v>5</v>
      </c>
      <c r="G23" s="10" t="s">
        <v>6</v>
      </c>
      <c r="H23" s="10" t="s">
        <v>7</v>
      </c>
      <c r="I23" s="10" t="s">
        <v>8</v>
      </c>
      <c r="J23" s="10" t="s">
        <v>9</v>
      </c>
      <c r="K23" s="10" t="s">
        <v>10</v>
      </c>
      <c r="L23" s="10" t="s">
        <v>11</v>
      </c>
      <c r="M23" s="10" t="s">
        <v>12</v>
      </c>
      <c r="N23" s="10" t="s">
        <v>13</v>
      </c>
      <c r="O23" s="10" t="s">
        <v>14</v>
      </c>
      <c r="P23" s="11" t="s">
        <v>15</v>
      </c>
      <c r="Q23" s="11" t="s">
        <v>48</v>
      </c>
      <c r="R23" s="1"/>
    </row>
    <row r="24" spans="1:18" x14ac:dyDescent="0.2">
      <c r="A24" s="1"/>
      <c r="B24" s="13" t="s">
        <v>22</v>
      </c>
      <c r="C24" s="159"/>
      <c r="D24" s="17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5"/>
      <c r="P24" s="159"/>
      <c r="Q24" s="161"/>
      <c r="R24" s="1"/>
    </row>
    <row r="25" spans="1:18" ht="9.9499999999999993" customHeight="1" thickBot="1" x14ac:dyDescent="0.25">
      <c r="A25" s="1"/>
      <c r="B25" s="6"/>
      <c r="C25" s="160"/>
      <c r="D25" s="17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6"/>
      <c r="P25" s="160"/>
      <c r="Q25" s="162"/>
      <c r="R25" s="1"/>
    </row>
    <row r="26" spans="1:18" x14ac:dyDescent="0.2">
      <c r="A26" s="1"/>
      <c r="B26" s="14" t="s">
        <v>23</v>
      </c>
      <c r="C26" s="85">
        <v>5395966</v>
      </c>
      <c r="D26" s="86">
        <v>449664</v>
      </c>
      <c r="E26" s="86">
        <v>449664</v>
      </c>
      <c r="F26" s="86">
        <v>449664</v>
      </c>
      <c r="G26" s="86">
        <v>449664</v>
      </c>
      <c r="H26" s="86">
        <v>449664</v>
      </c>
      <c r="I26" s="86">
        <v>449664</v>
      </c>
      <c r="J26" s="86">
        <v>449664</v>
      </c>
      <c r="K26" s="86">
        <v>449664</v>
      </c>
      <c r="L26" s="86">
        <v>449664</v>
      </c>
      <c r="M26" s="86">
        <v>449664</v>
      </c>
      <c r="N26" s="86">
        <v>449664</v>
      </c>
      <c r="O26" s="86">
        <v>449662</v>
      </c>
      <c r="P26" s="91">
        <f>SUM(D26:O26)</f>
        <v>5395966</v>
      </c>
      <c r="Q26" s="138">
        <v>5</v>
      </c>
      <c r="R26" s="1"/>
    </row>
    <row r="27" spans="1:18" ht="9.9499999999999993" customHeight="1" x14ac:dyDescent="0.2">
      <c r="A27" s="1"/>
      <c r="B27" s="7"/>
      <c r="C27" s="87"/>
      <c r="D27" s="88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90"/>
      <c r="P27" s="92"/>
      <c r="Q27" s="135"/>
      <c r="R27" s="1"/>
    </row>
    <row r="28" spans="1:18" x14ac:dyDescent="0.2">
      <c r="A28" s="1"/>
      <c r="B28" s="7" t="s">
        <v>25</v>
      </c>
      <c r="C28" s="87">
        <v>0</v>
      </c>
      <c r="D28" s="88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90"/>
      <c r="P28" s="91">
        <f>SUM(D28:O28)</f>
        <v>0</v>
      </c>
      <c r="Q28" s="135"/>
      <c r="R28" s="1"/>
    </row>
    <row r="29" spans="1:18" ht="9.9499999999999993" customHeight="1" x14ac:dyDescent="0.2">
      <c r="A29" s="1"/>
      <c r="B29" s="7"/>
      <c r="C29" s="87"/>
      <c r="D29" s="88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90"/>
      <c r="P29" s="92"/>
      <c r="Q29" s="135"/>
      <c r="R29" s="1"/>
    </row>
    <row r="30" spans="1:18" x14ac:dyDescent="0.2">
      <c r="A30" s="1"/>
      <c r="B30" s="7" t="s">
        <v>24</v>
      </c>
      <c r="C30" s="87">
        <v>1150759</v>
      </c>
      <c r="D30" s="88">
        <f>76643+30000+11439</f>
        <v>118082</v>
      </c>
      <c r="E30" s="88">
        <f>76643+30000+6246</f>
        <v>112889</v>
      </c>
      <c r="F30" s="88">
        <f t="shared" ref="F30:I30" si="2">76643</f>
        <v>76643</v>
      </c>
      <c r="G30" s="88">
        <f t="shared" si="2"/>
        <v>76643</v>
      </c>
      <c r="H30" s="88">
        <f>76643+65000+6246</f>
        <v>147889</v>
      </c>
      <c r="I30" s="88">
        <f t="shared" si="2"/>
        <v>76643</v>
      </c>
      <c r="J30" s="88">
        <f>76643+6246+11439</f>
        <v>94328</v>
      </c>
      <c r="K30" s="88">
        <f>76643+34422</f>
        <v>111065</v>
      </c>
      <c r="L30" s="88">
        <f>76643+10000</f>
        <v>86643</v>
      </c>
      <c r="M30" s="88">
        <f>76643+10000</f>
        <v>86643</v>
      </c>
      <c r="N30" s="88">
        <f>76643+10000</f>
        <v>86643</v>
      </c>
      <c r="O30" s="88">
        <f>76643+5</f>
        <v>76648</v>
      </c>
      <c r="P30" s="91">
        <f>SUM(D30:O30)</f>
        <v>1150759</v>
      </c>
      <c r="Q30" s="135" t="s">
        <v>92</v>
      </c>
      <c r="R30" s="1"/>
    </row>
    <row r="31" spans="1:18" ht="9.9499999999999993" customHeight="1" x14ac:dyDescent="0.2">
      <c r="A31" s="1"/>
      <c r="B31" s="7"/>
      <c r="C31" s="87"/>
      <c r="D31" s="88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  <c r="P31" s="92"/>
      <c r="Q31" s="135"/>
      <c r="R31" s="1"/>
    </row>
    <row r="32" spans="1:18" x14ac:dyDescent="0.2">
      <c r="A32" s="1"/>
      <c r="B32" s="142" t="s">
        <v>33</v>
      </c>
      <c r="C32" s="87">
        <v>11389</v>
      </c>
      <c r="D32" s="88"/>
      <c r="E32" s="89"/>
      <c r="F32" s="89"/>
      <c r="G32" s="89"/>
      <c r="H32" s="89">
        <v>5000</v>
      </c>
      <c r="I32" s="89"/>
      <c r="J32" s="89"/>
      <c r="K32" s="89"/>
      <c r="L32" s="89"/>
      <c r="M32" s="89"/>
      <c r="N32" s="89">
        <v>6389</v>
      </c>
      <c r="O32" s="90"/>
      <c r="P32" s="91">
        <f>SUM(D32:O32)</f>
        <v>11389</v>
      </c>
      <c r="Q32" s="135"/>
      <c r="R32" s="1"/>
    </row>
    <row r="33" spans="1:18" x14ac:dyDescent="0.2">
      <c r="A33" s="1"/>
      <c r="B33" s="142" t="s">
        <v>34</v>
      </c>
      <c r="C33" s="87">
        <v>10547</v>
      </c>
      <c r="D33" s="88"/>
      <c r="E33" s="89">
        <v>10547</v>
      </c>
      <c r="F33" s="89"/>
      <c r="G33" s="89"/>
      <c r="H33" s="89"/>
      <c r="I33" s="89"/>
      <c r="J33" s="89"/>
      <c r="K33" s="89"/>
      <c r="L33" s="89"/>
      <c r="M33" s="89"/>
      <c r="N33" s="89"/>
      <c r="O33" s="90"/>
      <c r="P33" s="91">
        <f>SUM(D33:O33)</f>
        <v>10547</v>
      </c>
      <c r="Q33" s="135"/>
      <c r="R33" s="1"/>
    </row>
    <row r="34" spans="1:18" ht="9.9499999999999993" customHeight="1" x14ac:dyDescent="0.2">
      <c r="A34" s="1"/>
      <c r="B34" s="7"/>
      <c r="C34" s="87"/>
      <c r="D34" s="88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  <c r="P34" s="92"/>
      <c r="Q34" s="135"/>
      <c r="R34" s="1"/>
    </row>
    <row r="35" spans="1:18" x14ac:dyDescent="0.2">
      <c r="A35" s="1"/>
      <c r="B35" s="7" t="s">
        <v>26</v>
      </c>
      <c r="C35" s="87">
        <v>11628</v>
      </c>
      <c r="D35" s="88">
        <v>11628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91">
        <f>SUM(D35:O35)</f>
        <v>11628</v>
      </c>
      <c r="Q35" s="135"/>
      <c r="R35" s="1"/>
    </row>
    <row r="36" spans="1:18" ht="15.75" thickBot="1" x14ac:dyDescent="0.25">
      <c r="A36" s="1"/>
      <c r="B36" s="7" t="s">
        <v>27</v>
      </c>
      <c r="C36" s="87">
        <v>30131</v>
      </c>
      <c r="D36" s="88">
        <v>20000</v>
      </c>
      <c r="E36" s="89">
        <v>1131</v>
      </c>
      <c r="F36" s="89"/>
      <c r="G36" s="89"/>
      <c r="H36" s="89">
        <v>9000</v>
      </c>
      <c r="I36" s="89"/>
      <c r="J36" s="89"/>
      <c r="K36" s="89"/>
      <c r="L36" s="89"/>
      <c r="M36" s="89"/>
      <c r="N36" s="89"/>
      <c r="O36" s="90"/>
      <c r="P36" s="91">
        <f>SUM(D36:O36)</f>
        <v>30131</v>
      </c>
      <c r="Q36" s="135"/>
      <c r="R36" s="1"/>
    </row>
    <row r="37" spans="1:18" ht="15.75" thickBot="1" x14ac:dyDescent="0.25">
      <c r="A37" s="1"/>
      <c r="B37" s="75" t="s">
        <v>29</v>
      </c>
      <c r="C37" s="76">
        <f>SUM(C26:C36)</f>
        <v>6610420</v>
      </c>
      <c r="D37" s="77">
        <f t="shared" ref="D37:O37" si="3">SUM(D26:D36)</f>
        <v>599374</v>
      </c>
      <c r="E37" s="77">
        <f t="shared" si="3"/>
        <v>574231</v>
      </c>
      <c r="F37" s="77">
        <f t="shared" si="3"/>
        <v>526307</v>
      </c>
      <c r="G37" s="77">
        <f t="shared" si="3"/>
        <v>526307</v>
      </c>
      <c r="H37" s="77">
        <f t="shared" si="3"/>
        <v>611553</v>
      </c>
      <c r="I37" s="77">
        <f t="shared" si="3"/>
        <v>526307</v>
      </c>
      <c r="J37" s="77">
        <f t="shared" si="3"/>
        <v>543992</v>
      </c>
      <c r="K37" s="77">
        <f t="shared" si="3"/>
        <v>560729</v>
      </c>
      <c r="L37" s="77">
        <f t="shared" si="3"/>
        <v>536307</v>
      </c>
      <c r="M37" s="77">
        <f t="shared" si="3"/>
        <v>536307</v>
      </c>
      <c r="N37" s="77">
        <f t="shared" si="3"/>
        <v>542696</v>
      </c>
      <c r="O37" s="78">
        <f t="shared" si="3"/>
        <v>526310</v>
      </c>
      <c r="P37" s="76">
        <f>SUM(D37:O37)</f>
        <v>6610420</v>
      </c>
      <c r="Q37" s="139"/>
      <c r="R37" s="1"/>
    </row>
    <row r="38" spans="1:18" ht="9.9499999999999993" customHeight="1" thickBot="1" x14ac:dyDescent="0.25">
      <c r="A38" s="1"/>
      <c r="B38" s="79"/>
      <c r="C38" s="80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3"/>
      <c r="P38" s="80"/>
      <c r="Q38" s="140"/>
      <c r="R38" s="1"/>
    </row>
    <row r="39" spans="1:18" ht="15.75" thickBot="1" x14ac:dyDescent="0.25">
      <c r="A39" s="1"/>
      <c r="B39" s="75" t="s">
        <v>30</v>
      </c>
      <c r="C39" s="76">
        <f>C21-C37</f>
        <v>-156022</v>
      </c>
      <c r="D39" s="76">
        <f t="shared" ref="D39:P39" si="4">D21-D37</f>
        <v>-104311</v>
      </c>
      <c r="E39" s="76">
        <f t="shared" si="4"/>
        <v>-42568</v>
      </c>
      <c r="F39" s="76">
        <f t="shared" si="4"/>
        <v>-2637</v>
      </c>
      <c r="G39" s="76">
        <f t="shared" si="4"/>
        <v>-44114</v>
      </c>
      <c r="H39" s="76">
        <f t="shared" si="4"/>
        <v>-99908</v>
      </c>
      <c r="I39" s="76">
        <f t="shared" si="4"/>
        <v>-28937</v>
      </c>
      <c r="J39" s="76">
        <f t="shared" si="4"/>
        <v>-36517</v>
      </c>
      <c r="K39" s="76">
        <f t="shared" si="4"/>
        <v>-42838</v>
      </c>
      <c r="L39" s="76">
        <f t="shared" si="4"/>
        <v>291283</v>
      </c>
      <c r="M39" s="76">
        <f t="shared" si="4"/>
        <v>-19689</v>
      </c>
      <c r="N39" s="76">
        <f t="shared" si="4"/>
        <v>18318</v>
      </c>
      <c r="O39" s="76">
        <f t="shared" si="4"/>
        <v>-44107</v>
      </c>
      <c r="P39" s="76">
        <f t="shared" si="4"/>
        <v>-156025</v>
      </c>
      <c r="Q39" s="139"/>
      <c r="R39" s="1"/>
    </row>
    <row r="40" spans="1:18" ht="9.9499999999999993" customHeight="1" thickBot="1" x14ac:dyDescent="0.25">
      <c r="A40" s="1"/>
      <c r="B40" s="79"/>
      <c r="C40" s="80"/>
      <c r="D40" s="81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3"/>
      <c r="P40" s="80"/>
      <c r="Q40" s="140"/>
      <c r="R40" s="1"/>
    </row>
    <row r="41" spans="1:18" ht="15.75" thickBot="1" x14ac:dyDescent="0.25">
      <c r="A41" s="1"/>
      <c r="B41" s="75" t="s">
        <v>28</v>
      </c>
      <c r="C41" s="71">
        <v>871620</v>
      </c>
      <c r="D41" s="77">
        <f>C41</f>
        <v>871620</v>
      </c>
      <c r="E41" s="84">
        <f>D41+D39</f>
        <v>767309</v>
      </c>
      <c r="F41" s="84">
        <f t="shared" ref="F41:O41" si="5">E41+E39</f>
        <v>724741</v>
      </c>
      <c r="G41" s="84">
        <f t="shared" si="5"/>
        <v>722104</v>
      </c>
      <c r="H41" s="84">
        <f t="shared" si="5"/>
        <v>677990</v>
      </c>
      <c r="I41" s="84">
        <f t="shared" si="5"/>
        <v>578082</v>
      </c>
      <c r="J41" s="84">
        <f t="shared" si="5"/>
        <v>549145</v>
      </c>
      <c r="K41" s="84">
        <f t="shared" si="5"/>
        <v>512628</v>
      </c>
      <c r="L41" s="84">
        <f t="shared" si="5"/>
        <v>469790</v>
      </c>
      <c r="M41" s="84">
        <f t="shared" si="5"/>
        <v>761073</v>
      </c>
      <c r="N41" s="84">
        <f t="shared" si="5"/>
        <v>741384</v>
      </c>
      <c r="O41" s="84">
        <f t="shared" si="5"/>
        <v>759702</v>
      </c>
      <c r="P41" s="71"/>
      <c r="Q41" s="139"/>
      <c r="R41" s="1"/>
    </row>
    <row r="42" spans="1:18" ht="9.9499999999999993" customHeight="1" thickBot="1" x14ac:dyDescent="0.25">
      <c r="A42" s="1"/>
      <c r="B42" s="79"/>
      <c r="C42" s="80"/>
      <c r="D42" s="81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3"/>
      <c r="P42" s="80"/>
      <c r="Q42" s="140"/>
      <c r="R42" s="1"/>
    </row>
    <row r="43" spans="1:18" ht="15.75" thickBot="1" x14ac:dyDescent="0.25">
      <c r="A43" s="1"/>
      <c r="B43" s="75" t="s">
        <v>31</v>
      </c>
      <c r="C43" s="76">
        <f>C41+C39</f>
        <v>715598</v>
      </c>
      <c r="D43" s="76">
        <f t="shared" ref="D43:O43" si="6">D41+D39</f>
        <v>767309</v>
      </c>
      <c r="E43" s="76">
        <f t="shared" si="6"/>
        <v>724741</v>
      </c>
      <c r="F43" s="76">
        <f t="shared" si="6"/>
        <v>722104</v>
      </c>
      <c r="G43" s="76">
        <f t="shared" si="6"/>
        <v>677990</v>
      </c>
      <c r="H43" s="76">
        <f t="shared" si="6"/>
        <v>578082</v>
      </c>
      <c r="I43" s="76">
        <f t="shared" si="6"/>
        <v>549145</v>
      </c>
      <c r="J43" s="76">
        <f t="shared" si="6"/>
        <v>512628</v>
      </c>
      <c r="K43" s="76">
        <f t="shared" si="6"/>
        <v>469790</v>
      </c>
      <c r="L43" s="76">
        <f t="shared" si="6"/>
        <v>761073</v>
      </c>
      <c r="M43" s="76">
        <f t="shared" si="6"/>
        <v>741384</v>
      </c>
      <c r="N43" s="76">
        <f t="shared" si="6"/>
        <v>759702</v>
      </c>
      <c r="O43" s="76">
        <f t="shared" si="6"/>
        <v>715595</v>
      </c>
      <c r="P43" s="76">
        <f>O43</f>
        <v>715595</v>
      </c>
      <c r="Q43" s="139"/>
      <c r="R43" s="1"/>
    </row>
    <row r="44" spans="1:18" ht="9.9499999999999993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</sheetData>
  <mergeCells count="30">
    <mergeCell ref="P24:P25"/>
    <mergeCell ref="Q24:Q25"/>
    <mergeCell ref="J24:J25"/>
    <mergeCell ref="K24:K25"/>
    <mergeCell ref="L24:L25"/>
    <mergeCell ref="M24:M25"/>
    <mergeCell ref="N24:N25"/>
    <mergeCell ref="O24:O25"/>
    <mergeCell ref="O5:O6"/>
    <mergeCell ref="P5:P6"/>
    <mergeCell ref="Q5:Q6"/>
    <mergeCell ref="C24:C25"/>
    <mergeCell ref="D24:D25"/>
    <mergeCell ref="E24:E25"/>
    <mergeCell ref="F24:F25"/>
    <mergeCell ref="G24:G25"/>
    <mergeCell ref="H24:H25"/>
    <mergeCell ref="I24:I25"/>
    <mergeCell ref="I5:I6"/>
    <mergeCell ref="J5:J6"/>
    <mergeCell ref="K5:K6"/>
    <mergeCell ref="L5:L6"/>
    <mergeCell ref="M5:M6"/>
    <mergeCell ref="N5:N6"/>
    <mergeCell ref="H5:H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cols>
    <col min="1" max="16384" width="8.88671875" style="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Forecast - Current</vt:lpstr>
      <vt:lpstr>Actuals</vt:lpstr>
      <vt:lpstr>Notes -Sept</vt:lpstr>
      <vt:lpstr>Notes -Jan</vt:lpstr>
      <vt:lpstr>Archive Forecast - Sept</vt:lpstr>
      <vt:lpstr>Archive Forecast - Jan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S.Roberts</dc:creator>
  <cp:lastModifiedBy>S.Roberts</cp:lastModifiedBy>
  <cp:lastPrinted>2019-01-23T13:29:20Z</cp:lastPrinted>
  <dcterms:created xsi:type="dcterms:W3CDTF">2018-10-18T12:28:19Z</dcterms:created>
  <dcterms:modified xsi:type="dcterms:W3CDTF">2019-04-03T13:16:19Z</dcterms:modified>
</cp:coreProperties>
</file>