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 - April" sheetId="7" r:id="rId3"/>
    <sheet name="Archive Forecast Sept" sheetId="1" r:id="rId4"/>
    <sheet name="Notes - Sept" sheetId="5" r:id="rId5"/>
    <sheet name="Archive Forecast 2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2" l="1"/>
  <c r="U15" i="2"/>
  <c r="S30" i="2"/>
  <c r="S15" i="2"/>
  <c r="Q15" i="2" l="1"/>
  <c r="D15" i="6"/>
  <c r="E15" i="6"/>
  <c r="F15" i="6"/>
  <c r="G15" i="6"/>
  <c r="H15" i="6"/>
  <c r="I15" i="6"/>
  <c r="O7" i="6"/>
  <c r="N7" i="6"/>
  <c r="L7" i="6"/>
  <c r="M7" i="6"/>
  <c r="K7" i="6"/>
  <c r="J7" i="6"/>
  <c r="I7" i="6"/>
  <c r="H7" i="6"/>
  <c r="G7" i="6"/>
  <c r="F7" i="6"/>
  <c r="E7" i="6"/>
  <c r="D7" i="6"/>
  <c r="H42" i="7"/>
  <c r="H29" i="7"/>
  <c r="H24" i="7"/>
  <c r="H19" i="7"/>
  <c r="H14" i="7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D41" i="1"/>
  <c r="K37" i="1"/>
  <c r="J37" i="1"/>
  <c r="E37" i="1"/>
  <c r="D37" i="1"/>
  <c r="C37" i="1"/>
  <c r="P36" i="1"/>
  <c r="P35" i="1"/>
  <c r="P33" i="1"/>
  <c r="G32" i="1"/>
  <c r="P32" i="1" s="1"/>
  <c r="E32" i="1"/>
  <c r="O30" i="1"/>
  <c r="N30" i="1"/>
  <c r="M30" i="1"/>
  <c r="M37" i="1" s="1"/>
  <c r="L30" i="1"/>
  <c r="L37" i="1" s="1"/>
  <c r="K30" i="1"/>
  <c r="J30" i="1"/>
  <c r="I30" i="1"/>
  <c r="H30" i="1"/>
  <c r="G30" i="1"/>
  <c r="G37" i="1" s="1"/>
  <c r="F30" i="1"/>
  <c r="F37" i="1" s="1"/>
  <c r="E30" i="1"/>
  <c r="D30" i="1"/>
  <c r="P30" i="1" s="1"/>
  <c r="P28" i="1"/>
  <c r="O26" i="1"/>
  <c r="O37" i="1" s="1"/>
  <c r="N26" i="1"/>
  <c r="N37" i="1" s="1"/>
  <c r="M26" i="1"/>
  <c r="L26" i="1"/>
  <c r="K26" i="1"/>
  <c r="J26" i="1"/>
  <c r="I26" i="1"/>
  <c r="I37" i="1" s="1"/>
  <c r="H26" i="1"/>
  <c r="H37" i="1" s="1"/>
  <c r="G26" i="1"/>
  <c r="F26" i="1"/>
  <c r="E26" i="1"/>
  <c r="D26" i="1"/>
  <c r="P26" i="1" s="1"/>
  <c r="C21" i="1"/>
  <c r="C39" i="1" s="1"/>
  <c r="C43" i="1" s="1"/>
  <c r="P20" i="1"/>
  <c r="P18" i="1"/>
  <c r="P17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P13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M9" i="1"/>
  <c r="I9" i="1"/>
  <c r="E9" i="1"/>
  <c r="P9" i="1" s="1"/>
  <c r="O7" i="1"/>
  <c r="O21" i="1" s="1"/>
  <c r="O39" i="1" s="1"/>
  <c r="N7" i="1"/>
  <c r="N21" i="1" s="1"/>
  <c r="M7" i="1"/>
  <c r="M21" i="1" s="1"/>
  <c r="L7" i="1"/>
  <c r="L21" i="1" s="1"/>
  <c r="K7" i="1"/>
  <c r="K21" i="1" s="1"/>
  <c r="K39" i="1" s="1"/>
  <c r="J7" i="1"/>
  <c r="J21" i="1" s="1"/>
  <c r="J39" i="1" s="1"/>
  <c r="I7" i="1"/>
  <c r="I21" i="1" s="1"/>
  <c r="I39" i="1" s="1"/>
  <c r="H7" i="1"/>
  <c r="H21" i="1" s="1"/>
  <c r="G7" i="1"/>
  <c r="G21" i="1" s="1"/>
  <c r="F7" i="1"/>
  <c r="F21" i="1" s="1"/>
  <c r="E7" i="1"/>
  <c r="E21" i="1" s="1"/>
  <c r="E39" i="1" s="1"/>
  <c r="D7" i="1"/>
  <c r="D21" i="1" s="1"/>
  <c r="D39" i="1" l="1"/>
  <c r="P21" i="1"/>
  <c r="P39" i="1" s="1"/>
  <c r="F39" i="1"/>
  <c r="L39" i="1"/>
  <c r="G39" i="1"/>
  <c r="M39" i="1"/>
  <c r="P37" i="1"/>
  <c r="H39" i="1"/>
  <c r="N39" i="1"/>
  <c r="D43" i="1"/>
  <c r="P7" i="1"/>
  <c r="E41" i="1"/>
  <c r="E43" i="1" l="1"/>
  <c r="F41" i="1"/>
  <c r="F43" i="1" l="1"/>
  <c r="G41" i="1"/>
  <c r="G43" i="1" l="1"/>
  <c r="H41" i="1"/>
  <c r="H43" i="1" l="1"/>
  <c r="I41" i="1"/>
  <c r="I43" i="1" l="1"/>
  <c r="J41" i="1"/>
  <c r="J43" i="1" l="1"/>
  <c r="K41" i="1"/>
  <c r="K43" i="1" l="1"/>
  <c r="L41" i="1"/>
  <c r="L43" i="1" l="1"/>
  <c r="M41" i="1"/>
  <c r="M43" i="1" l="1"/>
  <c r="N41" i="1"/>
  <c r="N43" i="1" l="1"/>
  <c r="O41" i="1"/>
  <c r="O43" i="1" s="1"/>
  <c r="P43" i="1" s="1"/>
  <c r="O30" i="2" l="1"/>
  <c r="O15" i="2"/>
  <c r="M30" i="2" l="1"/>
  <c r="M15" i="2"/>
  <c r="K15" i="2" l="1"/>
  <c r="O30" i="6" l="1"/>
  <c r="H30" i="6"/>
  <c r="J30" i="6"/>
  <c r="D30" i="6"/>
  <c r="N30" i="6"/>
  <c r="M30" i="6"/>
  <c r="E30" i="6"/>
  <c r="F30" i="6"/>
  <c r="G30" i="6"/>
  <c r="I30" i="6"/>
  <c r="K30" i="6"/>
  <c r="L30" i="6"/>
  <c r="E32" i="6"/>
  <c r="O15" i="6"/>
  <c r="J15" i="6"/>
  <c r="K15" i="6"/>
  <c r="L15" i="6"/>
  <c r="M15" i="6"/>
  <c r="N15" i="6"/>
  <c r="E9" i="6"/>
  <c r="H42" i="5" l="1"/>
  <c r="H24" i="5" l="1"/>
  <c r="H29" i="5" l="1"/>
  <c r="H19" i="5" l="1"/>
  <c r="H14" i="5"/>
  <c r="E37" i="6" l="1"/>
  <c r="F21" i="6" l="1"/>
  <c r="D37" i="6" l="1"/>
  <c r="F37" i="6"/>
  <c r="Y39" i="2" l="1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W39" i="2" l="1"/>
  <c r="U39" i="2"/>
  <c r="Q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<sst xmlns="http://schemas.openxmlformats.org/spreadsheetml/2006/main" count="305" uniqueCount="109">
  <si>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</si>
  <si>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</si>
  <si>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</si>
  <si>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</si>
  <si>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</si>
  <si>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</si>
  <si>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</si>
  <si>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</si>
  <si>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</si>
  <si>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</si>
  <si>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</si>
  <si>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</si>
  <si>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</si>
  <si>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</si>
  <si>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</si>
  <si>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</si>
  <si>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</si>
  <si>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</si>
  <si>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</si>
  <si>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</si>
  <si>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</si>
  <si>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</si>
  <si>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</si>
  <si>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</si>
  <si>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</si>
  <si>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</si>
  <si>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</si>
  <si>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</si>
  <si>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</si>
  <si>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</si>
  <si>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</si>
  <si>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</si>
  <si>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</si>
  <si>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</si>
  <si>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</si>
  <si>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</si>
  <si>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</si>
  <si>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</si>
  <si>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</si>
  <si>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</si>
  <si>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</si>
  <si>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</si>
  <si>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</si>
  <si>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</si>
  <si>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</si>
  <si>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</si>
  <si>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</si>
  <si>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</si>
  <si>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</si>
  <si>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</si>
  <si>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</si>
  <si>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</si>
  <si>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</si>
  <si>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</si>
  <si>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</si>
  <si>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</si>
  <si>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</si>
  <si>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</si>
  <si>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</si>
  <si>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</si>
  <si>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</si>
  <si>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</si>
  <si>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</si>
  <si>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</si>
  <si>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</si>
  <si>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</si>
  <si>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</si>
  <si>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</si>
  <si>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</si>
  <si>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</si>
  <si>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</si>
  <si>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</si>
  <si>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</si>
  <si>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</si>
  <si>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>Sept 10,904, Mar 10,904</t>
  </si>
  <si>
    <t xml:space="preserve">All other </t>
  </si>
  <si>
    <t>Oct 35274 Feb 35274 June 35274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</si>
  <si>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</si>
  <si>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</si>
  <si>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</si>
  <si>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</si>
  <si>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</si>
  <si>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</si>
  <si>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</si>
  <si>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</si>
  <si>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Summer School claim</t>
  </si>
  <si>
    <t>Recovery Grant</t>
  </si>
  <si>
    <t>Tuition Grant</t>
  </si>
  <si>
    <t>124,844 x 12</t>
  </si>
  <si>
    <t>508,252 x 12</t>
  </si>
  <si>
    <t>37,245 x 4 (Oct, Jan, Apr, Jul)</t>
  </si>
  <si>
    <t>13,391 Nov and 9,566 May</t>
  </si>
  <si>
    <t>37,844 Nov and 27,031 May</t>
  </si>
  <si>
    <t>Sept 13,384 Apr 6,691</t>
  </si>
  <si>
    <t>5,655 x 4 Oct, Jan, May, July</t>
  </si>
  <si>
    <t>6,277 x 4 Oct, Jan, May, July</t>
  </si>
  <si>
    <t>12,083 x 12</t>
  </si>
  <si>
    <t>1,270 x 12</t>
  </si>
  <si>
    <t xml:space="preserve">Distribution of Expenditure </t>
  </si>
  <si>
    <t>Staffing</t>
  </si>
  <si>
    <t>Salix PSDS</t>
  </si>
  <si>
    <t>559,229 x 12 (staff calcs Sept)</t>
  </si>
  <si>
    <t>32,000 Oct 198,000 Dec</t>
  </si>
  <si>
    <t>Oct 30k, Jan 85k, June 15k, July 10k</t>
  </si>
  <si>
    <t>113,852 X12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</si>
  <si>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</si>
  <si>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Supplemental Grant</t>
  </si>
  <si>
    <t>As per Funding Schedule</t>
  </si>
  <si>
    <t>35,732 May and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</si>
</sst>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9" xfId="0" applyFont="1" applyBorder="1"/>
    <xf numFmtId="0" fontId="1" fillId="0" borderId="1" xfId="0" applyFont="1" applyBorder="1"/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2" fillId="0" borderId="9" xfId="0" applyFont="1" applyBorder="1"/>
    <xf numFmtId="0" fontId="2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1" fillId="0" borderId="1" xfId="0" applyFont="1" applyBorder="1" applyAlignment="1">
      <alignment horizontal="left" vertical="center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O32" sqref="O32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5"/>
      <c r="D5" s="16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9"/>
      <c r="P5" s="165"/>
      <c r="Q5" s="171"/>
      <c r="R5" s="1"/>
    </row>
    <row r="6" spans="1:18" s="3" customFormat="1" ht="9.9499999999999993" customHeight="1" thickBot="1" x14ac:dyDescent="0.25">
      <c r="A6" s="4"/>
      <c r="B6" s="9"/>
      <c r="C6" s="166"/>
      <c r="D6" s="168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70"/>
      <c r="P6" s="166"/>
      <c r="Q6" s="172"/>
      <c r="R6" s="4"/>
    </row>
    <row r="7" spans="1:18" x14ac:dyDescent="0.2">
      <c r="A7" s="1"/>
      <c r="B7" s="12" t="s">
        <v>105</v>
      </c>
      <c r="C7" s="94">
        <v>8176212</v>
      </c>
      <c r="D7" s="95">
        <f>646480</f>
        <v>646480</v>
      </c>
      <c r="E7" s="95">
        <f>633096+37245+5655+6277</f>
        <v>682273</v>
      </c>
      <c r="F7" s="95">
        <f>633096+13391+37844+21669</f>
        <v>706000</v>
      </c>
      <c r="G7" s="95">
        <f>634576</f>
        <v>634576</v>
      </c>
      <c r="H7" s="95">
        <f>633466+37245+5655+6277</f>
        <v>682643</v>
      </c>
      <c r="I7" s="95">
        <f>633466</f>
        <v>633466</v>
      </c>
      <c r="J7" s="95">
        <f>700455</f>
        <v>700455</v>
      </c>
      <c r="K7" s="95">
        <f>650442+37245</f>
        <v>687687</v>
      </c>
      <c r="L7" s="95">
        <f>642750+9566+27031+34048+5655+6277+35732</f>
        <v>761059</v>
      </c>
      <c r="M7" s="95">
        <f>642750</f>
        <v>642750</v>
      </c>
      <c r="N7" s="95">
        <f>642750+37245+28404+5655+6277+35732</f>
        <v>756063</v>
      </c>
      <c r="O7" s="95">
        <f>642753+7</f>
        <v>642760</v>
      </c>
      <c r="P7" s="100">
        <f>SUM(D7:O7)</f>
        <v>8176212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v>25117</v>
      </c>
      <c r="J9" s="90"/>
      <c r="K9" s="90"/>
      <c r="L9" s="90"/>
      <c r="M9" s="90">
        <v>45433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v>13011</v>
      </c>
      <c r="E11" s="89">
        <v>11576</v>
      </c>
      <c r="F11" s="89">
        <v>13969</v>
      </c>
      <c r="G11" s="89">
        <v>10400</v>
      </c>
      <c r="H11" s="89">
        <v>13002</v>
      </c>
      <c r="I11" s="89">
        <v>15132</v>
      </c>
      <c r="J11" s="89">
        <v>11318</v>
      </c>
      <c r="K11" s="89">
        <v>11318</v>
      </c>
      <c r="L11" s="89">
        <v>11318</v>
      </c>
      <c r="M11" s="89">
        <v>11318</v>
      </c>
      <c r="N11" s="89">
        <v>11318</v>
      </c>
      <c r="O11" s="89">
        <v>11320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8449399</v>
      </c>
      <c r="D21" s="74">
        <f t="shared" ref="D21:O21" si="0">SUM(D7:D20)</f>
        <v>667874</v>
      </c>
      <c r="E21" s="74">
        <f t="shared" si="0"/>
        <v>730393</v>
      </c>
      <c r="F21" s="74">
        <f t="shared" si="0"/>
        <v>721239</v>
      </c>
      <c r="G21" s="74">
        <f t="shared" si="0"/>
        <v>646246</v>
      </c>
      <c r="H21" s="74">
        <f t="shared" si="0"/>
        <v>696915</v>
      </c>
      <c r="I21" s="74">
        <f t="shared" si="0"/>
        <v>674985</v>
      </c>
      <c r="J21" s="74">
        <f t="shared" si="0"/>
        <v>713043</v>
      </c>
      <c r="K21" s="74">
        <f t="shared" si="0"/>
        <v>700275</v>
      </c>
      <c r="L21" s="74">
        <f t="shared" si="0"/>
        <v>773647</v>
      </c>
      <c r="M21" s="74">
        <f t="shared" si="0"/>
        <v>700771</v>
      </c>
      <c r="N21" s="74">
        <f t="shared" si="0"/>
        <v>768651</v>
      </c>
      <c r="O21" s="75">
        <f t="shared" si="0"/>
        <v>655360</v>
      </c>
      <c r="P21" s="73">
        <f>SUM(D21:O21)</f>
        <v>8449399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3"/>
      <c r="D24" s="175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81"/>
      <c r="P24" s="173"/>
      <c r="Q24" s="179"/>
      <c r="R24" s="1"/>
    </row>
    <row r="25" spans="1:18" ht="9.9499999999999993" customHeight="1" thickBot="1" x14ac:dyDescent="0.25">
      <c r="A25" s="1"/>
      <c r="B25" s="6"/>
      <c r="C25" s="174"/>
      <c r="D25" s="176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82"/>
      <c r="P25" s="174"/>
      <c r="Q25" s="180"/>
      <c r="R25" s="1"/>
    </row>
    <row r="26" spans="1:18" x14ac:dyDescent="0.2">
      <c r="A26" s="1"/>
      <c r="B26" s="14" t="s">
        <v>22</v>
      </c>
      <c r="C26" s="86">
        <v>6748880</v>
      </c>
      <c r="D26" s="87">
        <v>543784</v>
      </c>
      <c r="E26" s="87">
        <v>557899</v>
      </c>
      <c r="F26" s="87">
        <v>473691</v>
      </c>
      <c r="G26" s="87">
        <v>575927</v>
      </c>
      <c r="H26" s="87">
        <v>720937</v>
      </c>
      <c r="I26" s="87">
        <v>633325</v>
      </c>
      <c r="J26" s="87">
        <v>540552</v>
      </c>
      <c r="K26" s="87">
        <v>540552</v>
      </c>
      <c r="L26" s="87">
        <v>540552</v>
      </c>
      <c r="M26" s="87">
        <v>540552</v>
      </c>
      <c r="N26" s="87">
        <v>540552</v>
      </c>
      <c r="O26" s="87">
        <v>540557</v>
      </c>
      <c r="P26" s="92">
        <f>SUM(D26:O26)</f>
        <v>6748880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1">113852</f>
        <v>113852</v>
      </c>
      <c r="G30" s="89">
        <f t="shared" si="1"/>
        <v>113852</v>
      </c>
      <c r="H30" s="89">
        <f>113852+85000</f>
        <v>198852</v>
      </c>
      <c r="I30" s="89">
        <f t="shared" si="1"/>
        <v>113852</v>
      </c>
      <c r="J30" s="89">
        <f>113852+10904</f>
        <v>124756</v>
      </c>
      <c r="K30" s="89">
        <f t="shared" si="1"/>
        <v>113852</v>
      </c>
      <c r="L30" s="89">
        <f t="shared" si="1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v>99300</v>
      </c>
      <c r="H32" s="90"/>
      <c r="I32" s="90"/>
      <c r="J32" s="90"/>
      <c r="K32" s="90"/>
      <c r="L32" s="90"/>
      <c r="M32" s="90"/>
      <c r="N32" s="90"/>
      <c r="O32" s="91">
        <v>99300</v>
      </c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8752528</v>
      </c>
      <c r="D37" s="78">
        <f t="shared" ref="D37:O37" si="2">SUM(D26:D36)</f>
        <v>840573</v>
      </c>
      <c r="E37" s="78">
        <f t="shared" si="2"/>
        <v>806729</v>
      </c>
      <c r="F37" s="78">
        <f t="shared" si="2"/>
        <v>587543</v>
      </c>
      <c r="G37" s="78">
        <f t="shared" si="2"/>
        <v>789079</v>
      </c>
      <c r="H37" s="78">
        <f t="shared" si="2"/>
        <v>919789</v>
      </c>
      <c r="I37" s="78">
        <f t="shared" si="2"/>
        <v>747177</v>
      </c>
      <c r="J37" s="78">
        <f t="shared" si="2"/>
        <v>665308</v>
      </c>
      <c r="K37" s="78">
        <f t="shared" si="2"/>
        <v>654404</v>
      </c>
      <c r="L37" s="78">
        <f t="shared" si="2"/>
        <v>654404</v>
      </c>
      <c r="M37" s="78">
        <f t="shared" si="2"/>
        <v>669404</v>
      </c>
      <c r="N37" s="78">
        <f t="shared" si="2"/>
        <v>664404</v>
      </c>
      <c r="O37" s="79">
        <f t="shared" si="2"/>
        <v>753714</v>
      </c>
      <c r="P37" s="77">
        <f>SUM(D37:O37)</f>
        <v>8752528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-303129</v>
      </c>
      <c r="D39" s="77">
        <f>D21-D37</f>
        <v>-172699</v>
      </c>
      <c r="E39" s="77">
        <f t="shared" ref="E39:P39" si="3">E21-E37</f>
        <v>-76336</v>
      </c>
      <c r="F39" s="77">
        <f t="shared" si="3"/>
        <v>133696</v>
      </c>
      <c r="G39" s="77">
        <f t="shared" si="3"/>
        <v>-142833</v>
      </c>
      <c r="H39" s="77">
        <f t="shared" si="3"/>
        <v>-222874</v>
      </c>
      <c r="I39" s="77">
        <f t="shared" si="3"/>
        <v>-72192</v>
      </c>
      <c r="J39" s="77">
        <f t="shared" si="3"/>
        <v>47735</v>
      </c>
      <c r="K39" s="77">
        <f t="shared" si="3"/>
        <v>45871</v>
      </c>
      <c r="L39" s="77">
        <f t="shared" si="3"/>
        <v>119243</v>
      </c>
      <c r="M39" s="77">
        <f t="shared" si="3"/>
        <v>31367</v>
      </c>
      <c r="N39" s="77">
        <f t="shared" si="3"/>
        <v>104247</v>
      </c>
      <c r="O39" s="77">
        <f t="shared" si="3"/>
        <v>-98354</v>
      </c>
      <c r="P39" s="77">
        <f t="shared" si="3"/>
        <v>-303129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628472</v>
      </c>
      <c r="F41" s="85">
        <f t="shared" ref="F41:O41" si="4">E41+E39</f>
        <v>552136</v>
      </c>
      <c r="G41" s="85">
        <f t="shared" si="4"/>
        <v>685832</v>
      </c>
      <c r="H41" s="85">
        <f t="shared" si="4"/>
        <v>542999</v>
      </c>
      <c r="I41" s="85">
        <f t="shared" si="4"/>
        <v>320125</v>
      </c>
      <c r="J41" s="85">
        <f t="shared" si="4"/>
        <v>247933</v>
      </c>
      <c r="K41" s="85">
        <f t="shared" si="4"/>
        <v>295668</v>
      </c>
      <c r="L41" s="85">
        <f t="shared" si="4"/>
        <v>341539</v>
      </c>
      <c r="M41" s="85">
        <f t="shared" si="4"/>
        <v>460782</v>
      </c>
      <c r="N41" s="85">
        <f t="shared" si="4"/>
        <v>492149</v>
      </c>
      <c r="O41" s="85">
        <f t="shared" si="4"/>
        <v>596396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498042</v>
      </c>
      <c r="D43" s="77">
        <f t="shared" ref="D43:O43" si="5">D41+D39</f>
        <v>628472</v>
      </c>
      <c r="E43" s="77">
        <f t="shared" si="5"/>
        <v>552136</v>
      </c>
      <c r="F43" s="77">
        <f t="shared" si="5"/>
        <v>685832</v>
      </c>
      <c r="G43" s="77">
        <f t="shared" si="5"/>
        <v>542999</v>
      </c>
      <c r="H43" s="77">
        <f t="shared" si="5"/>
        <v>320125</v>
      </c>
      <c r="I43" s="77">
        <f t="shared" si="5"/>
        <v>247933</v>
      </c>
      <c r="J43" s="77">
        <f t="shared" si="5"/>
        <v>295668</v>
      </c>
      <c r="K43" s="77">
        <f t="shared" si="5"/>
        <v>341539</v>
      </c>
      <c r="L43" s="77">
        <f t="shared" si="5"/>
        <v>460782</v>
      </c>
      <c r="M43" s="77">
        <f t="shared" si="5"/>
        <v>492149</v>
      </c>
      <c r="N43" s="77">
        <f t="shared" si="5"/>
        <v>596396</v>
      </c>
      <c r="O43" s="77">
        <f t="shared" si="5"/>
        <v>498042</v>
      </c>
      <c r="P43" s="77">
        <f>O43</f>
        <v>498042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O7" activePane="bottomRight" state="frozen"/>
      <selection pane="topRight" activeCell="C1" sqref="C1"/>
      <selection pane="bottomLeft" activeCell="A4" sqref="A4"/>
      <selection pane="bottomRight" activeCell="W43" sqref="W43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4" width="8.77734375" style="2" bestFit="1" customWidth="1"/>
    <col min="5" max="5" width="10.44140625" style="2" bestFit="1" customWidth="1"/>
    <col min="6" max="6" width="8.109375" style="2" bestFit="1" customWidth="1"/>
    <col min="7" max="7" width="10.44140625" style="2" bestFit="1" customWidth="1"/>
    <col min="8" max="8" width="8.109375" style="2" bestFit="1" customWidth="1"/>
    <col min="9" max="9" width="10.44140625" style="2" bestFit="1" customWidth="1"/>
    <col min="10" max="10" width="8.77734375" style="2" bestFit="1" customWidth="1"/>
    <col min="11" max="11" width="10.44140625" style="2" bestFit="1" customWidth="1"/>
    <col min="12" max="12" width="9.5546875" style="2" customWidth="1"/>
    <col min="13" max="13" width="10.44140625" style="2" bestFit="1" customWidth="1"/>
    <col min="14" max="14" width="8.109375" style="2" bestFit="1" customWidth="1"/>
    <col min="15" max="15" width="10.44140625" style="2" bestFit="1" customWidth="1"/>
    <col min="16" max="16" width="8.109375" style="2" bestFit="1" customWidth="1"/>
    <col min="17" max="17" width="10.44140625" style="2" bestFit="1" customWidth="1"/>
    <col min="18" max="18" width="8.109375" style="2" bestFit="1" customWidth="1"/>
    <col min="19" max="19" width="10.44140625" style="2" bestFit="1" customWidth="1"/>
    <col min="20" max="20" width="8.109375" style="2" bestFit="1" customWidth="1"/>
    <col min="21" max="21" width="10.44140625" style="2" bestFit="1" customWidth="1"/>
    <col min="22" max="22" width="8.109375" style="2" bestFit="1" customWidth="1"/>
    <col min="23" max="23" width="10.44140625" style="2" bestFit="1" customWidth="1"/>
    <col min="24" max="24" width="8.109375" style="2" bestFit="1" customWidth="1"/>
    <col min="25" max="25" width="10.44140625" style="2" bestFit="1" customWidth="1"/>
    <col min="26" max="26" width="8.109375" style="2" bestFit="1" customWidth="1"/>
    <col min="27" max="27" width="10.44140625" style="2" bestFit="1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7" t="s">
        <v>83</v>
      </c>
      <c r="C2" s="208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183"/>
      <c r="D5" s="185"/>
      <c r="E5" s="191"/>
      <c r="F5" s="187"/>
      <c r="G5" s="191"/>
      <c r="H5" s="189"/>
      <c r="I5" s="191"/>
      <c r="J5" s="187"/>
      <c r="K5" s="191"/>
      <c r="L5" s="187"/>
      <c r="M5" s="191"/>
      <c r="N5" s="189"/>
      <c r="O5" s="191"/>
      <c r="P5" s="189"/>
      <c r="Q5" s="191"/>
      <c r="R5" s="187"/>
      <c r="S5" s="191"/>
      <c r="T5" s="187"/>
      <c r="U5" s="191"/>
      <c r="V5" s="187"/>
      <c r="W5" s="191"/>
      <c r="X5" s="187"/>
      <c r="Y5" s="191"/>
      <c r="Z5" s="187"/>
      <c r="AA5" s="201"/>
      <c r="AB5" s="197"/>
      <c r="AC5" s="1"/>
    </row>
    <row r="6" spans="1:29" s="3" customFormat="1" ht="9.9499999999999993" customHeight="1" thickBot="1" x14ac:dyDescent="0.25">
      <c r="A6" s="4"/>
      <c r="B6" s="33"/>
      <c r="C6" s="184"/>
      <c r="D6" s="186"/>
      <c r="E6" s="192"/>
      <c r="F6" s="188"/>
      <c r="G6" s="192"/>
      <c r="H6" s="190"/>
      <c r="I6" s="192"/>
      <c r="J6" s="188"/>
      <c r="K6" s="192"/>
      <c r="L6" s="188"/>
      <c r="M6" s="192"/>
      <c r="N6" s="190"/>
      <c r="O6" s="192"/>
      <c r="P6" s="190"/>
      <c r="Q6" s="192"/>
      <c r="R6" s="188"/>
      <c r="S6" s="192"/>
      <c r="T6" s="188"/>
      <c r="U6" s="192"/>
      <c r="V6" s="188"/>
      <c r="W6" s="192"/>
      <c r="X6" s="188"/>
      <c r="Y6" s="192"/>
      <c r="Z6" s="188"/>
      <c r="AA6" s="202"/>
      <c r="AB6" s="198"/>
      <c r="AC6" s="4"/>
    </row>
    <row r="7" spans="1:29" x14ac:dyDescent="0.2">
      <c r="A7" s="1"/>
      <c r="B7" s="108" t="s">
        <v>60</v>
      </c>
      <c r="C7" s="58">
        <f>'Forecast - Current'!C7</f>
        <v>8176212</v>
      </c>
      <c r="D7" s="122">
        <f>'Forecast - Current'!D7</f>
        <v>646480</v>
      </c>
      <c r="E7" s="102">
        <v>646480</v>
      </c>
      <c r="F7" s="125">
        <f>'Forecast - Current'!E7</f>
        <v>682273</v>
      </c>
      <c r="G7" s="102">
        <v>677544</v>
      </c>
      <c r="H7" s="125">
        <f>'Forecast - Current'!F7</f>
        <v>706000</v>
      </c>
      <c r="I7" s="102">
        <v>719737</v>
      </c>
      <c r="J7" s="125">
        <f>'Forecast - Current'!G7</f>
        <v>634576</v>
      </c>
      <c r="K7" s="102">
        <v>634435</v>
      </c>
      <c r="L7" s="125">
        <f>'Forecast - Current'!H7</f>
        <v>682643</v>
      </c>
      <c r="M7" s="102">
        <v>720937</v>
      </c>
      <c r="N7" s="125">
        <f>'Forecast - Current'!I7</f>
        <v>633466</v>
      </c>
      <c r="O7" s="102">
        <v>633325</v>
      </c>
      <c r="P7" s="125">
        <f>'Forecast - Current'!J7</f>
        <v>700455</v>
      </c>
      <c r="Q7" s="102">
        <v>689410</v>
      </c>
      <c r="R7" s="125">
        <f>'Forecast - Current'!K7</f>
        <v>687687</v>
      </c>
      <c r="S7" s="102">
        <v>700060</v>
      </c>
      <c r="T7" s="125">
        <f>'Forecast - Current'!L7</f>
        <v>761059</v>
      </c>
      <c r="U7" s="102">
        <v>699987</v>
      </c>
      <c r="V7" s="125">
        <f>'Forecast - Current'!M7</f>
        <v>642750</v>
      </c>
      <c r="W7" s="102">
        <v>761740</v>
      </c>
      <c r="X7" s="125">
        <f>'Forecast - Current'!N7</f>
        <v>756063</v>
      </c>
      <c r="Y7" s="102"/>
      <c r="Z7" s="125">
        <f>'Forecast - Current'!O7</f>
        <v>642760</v>
      </c>
      <c r="AA7" s="103"/>
      <c r="AB7" s="119">
        <f>E7+G7+I7+K7+M7+O7+Q7+S7+U7+W7+Y7+AA7</f>
        <v>6883655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105824</v>
      </c>
      <c r="D9" s="123">
        <f>'Forecast - Current'!D9</f>
        <v>0</v>
      </c>
      <c r="E9" s="104"/>
      <c r="F9" s="126">
        <f>'Forecast - Current'!E9</f>
        <v>35274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>
        <v>33468</v>
      </c>
      <c r="L9" s="126">
        <f>'Forecast - Current'!H9</f>
        <v>0</v>
      </c>
      <c r="M9" s="104">
        <v>0</v>
      </c>
      <c r="N9" s="126">
        <f>'Forecast - Current'!I9</f>
        <v>25117</v>
      </c>
      <c r="O9" s="104">
        <v>25117</v>
      </c>
      <c r="P9" s="126">
        <f>'Forecast - Current'!J9</f>
        <v>0</v>
      </c>
      <c r="Q9" s="104">
        <v>0</v>
      </c>
      <c r="R9" s="126">
        <f>'Forecast - Current'!K9</f>
        <v>0</v>
      </c>
      <c r="S9" s="104">
        <v>0</v>
      </c>
      <c r="T9" s="126">
        <f>'Forecast - Current'!L9</f>
        <v>0</v>
      </c>
      <c r="U9" s="104">
        <v>30932</v>
      </c>
      <c r="V9" s="126">
        <f>'Forecast - Current'!M9</f>
        <v>45433</v>
      </c>
      <c r="W9" s="104">
        <v>0</v>
      </c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89517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145000</v>
      </c>
      <c r="D11" s="123">
        <f>'Forecast - Current'!D11</f>
        <v>13011</v>
      </c>
      <c r="E11" s="104">
        <v>13011</v>
      </c>
      <c r="F11" s="126">
        <f>'Forecast - Current'!E11</f>
        <v>11576</v>
      </c>
      <c r="G11" s="104">
        <v>11576</v>
      </c>
      <c r="H11" s="126">
        <f>'Forecast - Current'!F11</f>
        <v>13969</v>
      </c>
      <c r="I11" s="104">
        <v>13969</v>
      </c>
      <c r="J11" s="126">
        <f>'Forecast - Current'!G11</f>
        <v>10400</v>
      </c>
      <c r="K11" s="104">
        <v>10400</v>
      </c>
      <c r="L11" s="126">
        <f>'Forecast - Current'!H11</f>
        <v>13002</v>
      </c>
      <c r="M11" s="104">
        <v>13002</v>
      </c>
      <c r="N11" s="126">
        <f>'Forecast - Current'!I11</f>
        <v>15132</v>
      </c>
      <c r="O11" s="104">
        <v>15132</v>
      </c>
      <c r="P11" s="126">
        <f>'Forecast - Current'!J11</f>
        <v>11318</v>
      </c>
      <c r="Q11" s="104">
        <v>17895</v>
      </c>
      <c r="R11" s="126">
        <f>'Forecast - Current'!K11</f>
        <v>11318</v>
      </c>
      <c r="S11" s="104">
        <v>7999</v>
      </c>
      <c r="T11" s="126">
        <f>'Forecast - Current'!L11</f>
        <v>11318</v>
      </c>
      <c r="U11" s="104">
        <v>9194</v>
      </c>
      <c r="V11" s="126">
        <f>'Forecast - Current'!M11</f>
        <v>11318</v>
      </c>
      <c r="W11" s="104">
        <v>10731</v>
      </c>
      <c r="X11" s="126">
        <f>'Forecast - Current'!N11</f>
        <v>11318</v>
      </c>
      <c r="Y11" s="104"/>
      <c r="Z11" s="126">
        <f>'Forecast - Current'!O11</f>
        <v>11320</v>
      </c>
      <c r="AA11" s="105"/>
      <c r="AB11" s="120">
        <f t="shared" si="0"/>
        <v>122909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/>
      <c r="F13" s="126">
        <f>'Forecast - Current'!E13</f>
        <v>0</v>
      </c>
      <c r="G13" s="104">
        <v>1333</v>
      </c>
      <c r="H13" s="126">
        <f>'Forecast - Current'!F13</f>
        <v>0</v>
      </c>
      <c r="I13" s="104">
        <v>4381</v>
      </c>
      <c r="J13" s="126">
        <f>'Forecast - Current'!G13</f>
        <v>0</v>
      </c>
      <c r="K13" s="104">
        <v>4297</v>
      </c>
      <c r="L13" s="126">
        <f>'Forecast - Current'!H13</f>
        <v>0</v>
      </c>
      <c r="M13" s="104">
        <v>4817</v>
      </c>
      <c r="N13" s="126">
        <f>'Forecast - Current'!I13</f>
        <v>0</v>
      </c>
      <c r="O13" s="104">
        <v>1381</v>
      </c>
      <c r="P13" s="126">
        <f>'Forecast - Current'!J13</f>
        <v>0</v>
      </c>
      <c r="Q13" s="104">
        <v>6386</v>
      </c>
      <c r="R13" s="126">
        <f>'Forecast - Current'!K13</f>
        <v>0</v>
      </c>
      <c r="S13" s="104">
        <v>5367</v>
      </c>
      <c r="T13" s="126">
        <f>'Forecast - Current'!L13</f>
        <v>0</v>
      </c>
      <c r="U13" s="104">
        <v>7242</v>
      </c>
      <c r="V13" s="126">
        <f>'Forecast - Current'!M13</f>
        <v>0</v>
      </c>
      <c r="W13" s="104">
        <v>231</v>
      </c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35435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15250</v>
      </c>
      <c r="D15" s="123">
        <f>'Forecast - Current'!D15</f>
        <v>1270</v>
      </c>
      <c r="E15" s="104">
        <v>26401</v>
      </c>
      <c r="F15" s="126">
        <f>'Forecast - Current'!E15</f>
        <v>1270</v>
      </c>
      <c r="G15" s="104">
        <v>70688</v>
      </c>
      <c r="H15" s="126">
        <f>'Forecast - Current'!F15</f>
        <v>1270</v>
      </c>
      <c r="I15" s="104">
        <v>48234</v>
      </c>
      <c r="J15" s="126">
        <f>'Forecast - Current'!G15</f>
        <v>1270</v>
      </c>
      <c r="K15" s="104">
        <f>37427+2</f>
        <v>37429</v>
      </c>
      <c r="L15" s="126">
        <f>'Forecast - Current'!H15</f>
        <v>1270</v>
      </c>
      <c r="M15" s="104">
        <f xml:space="preserve"> 69644+2</f>
        <v>69646</v>
      </c>
      <c r="N15" s="126">
        <f>'Forecast - Current'!I15</f>
        <v>1270</v>
      </c>
      <c r="O15" s="104">
        <f>18508+2</f>
        <v>18510</v>
      </c>
      <c r="P15" s="126">
        <f>'Forecast - Current'!J15</f>
        <v>1270</v>
      </c>
      <c r="Q15" s="104">
        <f>50596+2</f>
        <v>50598</v>
      </c>
      <c r="R15" s="126">
        <f>'Forecast - Current'!K15</f>
        <v>1270</v>
      </c>
      <c r="S15" s="104">
        <f>20888+2</f>
        <v>20890</v>
      </c>
      <c r="T15" s="126">
        <f>'Forecast - Current'!L15</f>
        <v>1270</v>
      </c>
      <c r="U15" s="104">
        <f>49671+3</f>
        <v>49674</v>
      </c>
      <c r="V15" s="126">
        <f>'Forecast - Current'!M15</f>
        <v>1270</v>
      </c>
      <c r="W15" s="104">
        <v>29717</v>
      </c>
      <c r="X15" s="126">
        <f>'Forecast - Current'!N15</f>
        <v>1270</v>
      </c>
      <c r="Y15" s="104"/>
      <c r="Z15" s="126">
        <f>'Forecast - Current'!O15</f>
        <v>1280</v>
      </c>
      <c r="AA15" s="105"/>
      <c r="AB15" s="120">
        <f t="shared" si="0"/>
        <v>421787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7113</v>
      </c>
      <c r="D20" s="124">
        <f>'Forecast - Current'!D20</f>
        <v>7113</v>
      </c>
      <c r="E20" s="106">
        <v>7113</v>
      </c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7113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8449399</v>
      </c>
      <c r="D21" s="114">
        <f>'Forecast - Current'!D21</f>
        <v>667874</v>
      </c>
      <c r="E21" s="115">
        <f>SUM(E7:E20)</f>
        <v>693005</v>
      </c>
      <c r="F21" s="116">
        <f>'Forecast - Current'!E21</f>
        <v>730393</v>
      </c>
      <c r="G21" s="115">
        <f>SUM(G7:G20)</f>
        <v>761141</v>
      </c>
      <c r="H21" s="116">
        <f>'Forecast - Current'!F21</f>
        <v>721239</v>
      </c>
      <c r="I21" s="115">
        <f>SUM(I7:I20)</f>
        <v>786321</v>
      </c>
      <c r="J21" s="116">
        <f>'Forecast - Current'!G21</f>
        <v>646246</v>
      </c>
      <c r="K21" s="115">
        <f>SUM(K7:K20)</f>
        <v>720029</v>
      </c>
      <c r="L21" s="116">
        <f>'Forecast - Current'!H21</f>
        <v>696915</v>
      </c>
      <c r="M21" s="115">
        <f>SUM(M7:M20)</f>
        <v>808402</v>
      </c>
      <c r="N21" s="116">
        <f>'Forecast - Current'!I21</f>
        <v>674985</v>
      </c>
      <c r="O21" s="115">
        <f>SUM(O7:O20)</f>
        <v>693465</v>
      </c>
      <c r="P21" s="116">
        <f>'Forecast - Current'!J21</f>
        <v>713043</v>
      </c>
      <c r="Q21" s="115">
        <f>SUM(Q7:Q20)</f>
        <v>764289</v>
      </c>
      <c r="R21" s="116">
        <f>'Forecast - Current'!K21</f>
        <v>700275</v>
      </c>
      <c r="S21" s="115">
        <f>SUM(S7:S20)</f>
        <v>734316</v>
      </c>
      <c r="T21" s="116">
        <f>'Forecast - Current'!L21</f>
        <v>773647</v>
      </c>
      <c r="U21" s="115">
        <f>SUM(U7:U20)</f>
        <v>797029</v>
      </c>
      <c r="V21" s="116">
        <f>'Forecast - Current'!M21</f>
        <v>700771</v>
      </c>
      <c r="W21" s="115">
        <f>SUM(W7:W20)</f>
        <v>802419</v>
      </c>
      <c r="X21" s="116">
        <f>'Forecast - Current'!N21</f>
        <v>768651</v>
      </c>
      <c r="Y21" s="115">
        <f>SUM(Y7:Y20)</f>
        <v>0</v>
      </c>
      <c r="Z21" s="116">
        <f>'Forecast - Current'!O21</f>
        <v>655360</v>
      </c>
      <c r="AA21" s="117">
        <f>SUM(AA7:AA20)</f>
        <v>0</v>
      </c>
      <c r="AB21" s="118">
        <f t="shared" si="0"/>
        <v>7560416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209"/>
      <c r="D24" s="211"/>
      <c r="E24" s="195"/>
      <c r="F24" s="199"/>
      <c r="G24" s="195"/>
      <c r="H24" s="205"/>
      <c r="I24" s="195"/>
      <c r="J24" s="199"/>
      <c r="K24" s="195"/>
      <c r="L24" s="199"/>
      <c r="M24" s="195"/>
      <c r="N24" s="205"/>
      <c r="O24" s="195"/>
      <c r="P24" s="205"/>
      <c r="Q24" s="195"/>
      <c r="R24" s="199"/>
      <c r="S24" s="195"/>
      <c r="T24" s="199"/>
      <c r="U24" s="195"/>
      <c r="V24" s="199"/>
      <c r="W24" s="195"/>
      <c r="X24" s="199"/>
      <c r="Y24" s="195"/>
      <c r="Z24" s="199"/>
      <c r="AA24" s="203"/>
      <c r="AB24" s="193"/>
      <c r="AC24" s="1"/>
    </row>
    <row r="25" spans="1:29" ht="9.9499999999999993" customHeight="1" thickBot="1" x14ac:dyDescent="0.25">
      <c r="A25" s="1"/>
      <c r="B25" s="35"/>
      <c r="C25" s="210"/>
      <c r="D25" s="212"/>
      <c r="E25" s="196"/>
      <c r="F25" s="200"/>
      <c r="G25" s="196"/>
      <c r="H25" s="206"/>
      <c r="I25" s="196"/>
      <c r="J25" s="200"/>
      <c r="K25" s="196"/>
      <c r="L25" s="200"/>
      <c r="M25" s="196"/>
      <c r="N25" s="206"/>
      <c r="O25" s="196"/>
      <c r="P25" s="206"/>
      <c r="Q25" s="196"/>
      <c r="R25" s="200"/>
      <c r="S25" s="196"/>
      <c r="T25" s="200"/>
      <c r="U25" s="196"/>
      <c r="V25" s="200"/>
      <c r="W25" s="196"/>
      <c r="X25" s="200"/>
      <c r="Y25" s="196"/>
      <c r="Z25" s="200"/>
      <c r="AA25" s="204"/>
      <c r="AB25" s="194"/>
      <c r="AC25" s="1"/>
    </row>
    <row r="26" spans="1:29" x14ac:dyDescent="0.2">
      <c r="A26" s="1"/>
      <c r="B26" s="36" t="s">
        <v>22</v>
      </c>
      <c r="C26" s="68">
        <f>'Forecast - Current'!C26</f>
        <v>6748880</v>
      </c>
      <c r="D26" s="47">
        <f>'Forecast - Current'!D26</f>
        <v>543784</v>
      </c>
      <c r="E26" s="102">
        <v>543784</v>
      </c>
      <c r="F26" s="125">
        <f>'Forecast - Current'!E26</f>
        <v>557899</v>
      </c>
      <c r="G26" s="102">
        <v>557899</v>
      </c>
      <c r="H26" s="125">
        <f>'Forecast - Current'!F26</f>
        <v>473691</v>
      </c>
      <c r="I26" s="102">
        <v>473691</v>
      </c>
      <c r="J26" s="125">
        <f>'Forecast - Current'!G26</f>
        <v>575927</v>
      </c>
      <c r="K26" s="102">
        <v>575927</v>
      </c>
      <c r="L26" s="125">
        <f>'Forecast - Current'!H26</f>
        <v>720937</v>
      </c>
      <c r="M26" s="102">
        <v>557466</v>
      </c>
      <c r="N26" s="125">
        <f>'Forecast - Current'!I26</f>
        <v>633325</v>
      </c>
      <c r="O26" s="102">
        <v>560951</v>
      </c>
      <c r="P26" s="125">
        <f>'Forecast - Current'!J26</f>
        <v>540552</v>
      </c>
      <c r="Q26" s="102">
        <v>581841</v>
      </c>
      <c r="R26" s="125">
        <f>'Forecast - Current'!K26</f>
        <v>540552</v>
      </c>
      <c r="S26" s="102">
        <v>572723</v>
      </c>
      <c r="T26" s="125">
        <f>'Forecast - Current'!L26</f>
        <v>540552</v>
      </c>
      <c r="U26" s="102">
        <v>572273</v>
      </c>
      <c r="V26" s="125">
        <f>'Forecast - Current'!M26</f>
        <v>540552</v>
      </c>
      <c r="W26" s="102">
        <v>572765</v>
      </c>
      <c r="X26" s="125">
        <f>'Forecast - Current'!N26</f>
        <v>540552</v>
      </c>
      <c r="Y26" s="102"/>
      <c r="Z26" s="125">
        <f>'Forecast - Current'!O26</f>
        <v>540557</v>
      </c>
      <c r="AA26" s="103"/>
      <c r="AB26" s="65">
        <f>E26+G26+I26+K26+M26+O26+Q26+S26+U26+W26+Y26+AA26</f>
        <v>5569320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/>
      <c r="F28" s="125">
        <f>'Forecast - Current'!E28</f>
        <v>0</v>
      </c>
      <c r="G28" s="104">
        <v>4250</v>
      </c>
      <c r="H28" s="125">
        <f>'Forecast - Current'!F28</f>
        <v>0</v>
      </c>
      <c r="I28" s="104">
        <v>1744</v>
      </c>
      <c r="J28" s="125">
        <f>'Forecast - Current'!G28</f>
        <v>0</v>
      </c>
      <c r="K28" s="104">
        <v>12143</v>
      </c>
      <c r="L28" s="125">
        <f>'Forecast - Current'!H28</f>
        <v>0</v>
      </c>
      <c r="M28" s="104">
        <v>2493</v>
      </c>
      <c r="N28" s="125">
        <f>'Forecast - Current'!I28</f>
        <v>0</v>
      </c>
      <c r="O28" s="104">
        <v>956</v>
      </c>
      <c r="P28" s="125">
        <f>'Forecast - Current'!J28</f>
        <v>0</v>
      </c>
      <c r="Q28" s="104">
        <v>335</v>
      </c>
      <c r="R28" s="125">
        <f>'Forecast - Current'!K28</f>
        <v>0</v>
      </c>
      <c r="S28" s="104">
        <v>230</v>
      </c>
      <c r="T28" s="125">
        <f>'Forecast - Current'!L28</f>
        <v>0</v>
      </c>
      <c r="U28" s="104">
        <v>5433</v>
      </c>
      <c r="V28" s="125">
        <f>'Forecast - Current'!M28</f>
        <v>0</v>
      </c>
      <c r="W28" s="104">
        <v>5992</v>
      </c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33576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1563037</v>
      </c>
      <c r="D30" s="47">
        <f>'Forecast - Current'!D30</f>
        <v>124756</v>
      </c>
      <c r="E30" s="104">
        <v>124757</v>
      </c>
      <c r="F30" s="125">
        <f>'Forecast - Current'!E30</f>
        <v>178852</v>
      </c>
      <c r="G30" s="104">
        <v>155472</v>
      </c>
      <c r="H30" s="125">
        <f>'Forecast - Current'!F30</f>
        <v>113852</v>
      </c>
      <c r="I30" s="104">
        <v>248797</v>
      </c>
      <c r="J30" s="125">
        <f>'Forecast - Current'!G30</f>
        <v>113852</v>
      </c>
      <c r="K30" s="104">
        <v>246461</v>
      </c>
      <c r="L30" s="125">
        <f>'Forecast - Current'!H30</f>
        <v>198852</v>
      </c>
      <c r="M30" s="104">
        <f xml:space="preserve"> 112819+2</f>
        <v>112821</v>
      </c>
      <c r="N30" s="125">
        <f>'Forecast - Current'!I30</f>
        <v>113852</v>
      </c>
      <c r="O30" s="104">
        <f>99286</f>
        <v>99286</v>
      </c>
      <c r="P30" s="125">
        <f>'Forecast - Current'!J30</f>
        <v>124756</v>
      </c>
      <c r="Q30" s="104">
        <v>370667</v>
      </c>
      <c r="R30" s="125">
        <f>'Forecast - Current'!K30</f>
        <v>113852</v>
      </c>
      <c r="S30" s="104">
        <f>203221+2</f>
        <v>203223</v>
      </c>
      <c r="T30" s="125">
        <f>'Forecast - Current'!L30</f>
        <v>113852</v>
      </c>
      <c r="U30" s="104">
        <f>139423+2</f>
        <v>139425</v>
      </c>
      <c r="V30" s="125">
        <f>'Forecast - Current'!M30</f>
        <v>128852</v>
      </c>
      <c r="W30" s="104">
        <v>179385</v>
      </c>
      <c r="X30" s="125">
        <f>'Forecast - Current'!N30</f>
        <v>123852</v>
      </c>
      <c r="Y30" s="104"/>
      <c r="Z30" s="125">
        <f>'Forecast - Current'!O30</f>
        <v>113857</v>
      </c>
      <c r="AA30" s="105"/>
      <c r="AB30" s="65">
        <f t="shared" si="1"/>
        <v>1880294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82</v>
      </c>
      <c r="C32" s="69">
        <f>'Forecast - Current'!C32</f>
        <v>230600</v>
      </c>
      <c r="D32" s="47">
        <f>'Forecast - Current'!D32</f>
        <v>0</v>
      </c>
      <c r="E32" s="104"/>
      <c r="F32" s="125">
        <f>'Forecast - Current'!E32</f>
        <v>32000</v>
      </c>
      <c r="G32" s="104"/>
      <c r="H32" s="125">
        <f>'Forecast - Current'!F32</f>
        <v>0</v>
      </c>
      <c r="I32" s="104"/>
      <c r="J32" s="125">
        <f>'Forecast - Current'!G32</f>
        <v>99300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99300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19571</v>
      </c>
      <c r="D35" s="47">
        <f>'Forecast - Current'!D35</f>
        <v>19571</v>
      </c>
      <c r="E35" s="104">
        <v>19571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19571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190440</v>
      </c>
      <c r="D36" s="49">
        <f>'Forecast - Current'!D36</f>
        <v>152462</v>
      </c>
      <c r="E36" s="106">
        <v>152462</v>
      </c>
      <c r="F36" s="134">
        <f>'Forecast - Current'!E36</f>
        <v>37978</v>
      </c>
      <c r="G36" s="104">
        <v>37978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190440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8752528</v>
      </c>
      <c r="D37" s="131">
        <f>'Forecast - Current'!D37</f>
        <v>840573</v>
      </c>
      <c r="E37" s="115">
        <f>SUM(E26:E36)</f>
        <v>840574</v>
      </c>
      <c r="F37" s="116">
        <f>'Forecast - Current'!E37</f>
        <v>806729</v>
      </c>
      <c r="G37" s="115">
        <f>SUM(G26:G36)</f>
        <v>755599</v>
      </c>
      <c r="H37" s="116">
        <f>'Forecast - Current'!F37</f>
        <v>587543</v>
      </c>
      <c r="I37" s="115">
        <f>SUM(I26:I36)</f>
        <v>724232</v>
      </c>
      <c r="J37" s="116">
        <f>'Forecast - Current'!G37</f>
        <v>789079</v>
      </c>
      <c r="K37" s="115">
        <f>SUM(K26:K36)</f>
        <v>834531</v>
      </c>
      <c r="L37" s="116">
        <f>'Forecast - Current'!H37</f>
        <v>919789</v>
      </c>
      <c r="M37" s="115">
        <f>SUM(M26:M36)</f>
        <v>672780</v>
      </c>
      <c r="N37" s="116">
        <f>'Forecast - Current'!I37</f>
        <v>747177</v>
      </c>
      <c r="O37" s="115">
        <f>SUM(O26:O36)</f>
        <v>661193</v>
      </c>
      <c r="P37" s="116">
        <f>'Forecast - Current'!J37</f>
        <v>665308</v>
      </c>
      <c r="Q37" s="115">
        <f>SUM(Q26:Q36)</f>
        <v>952843</v>
      </c>
      <c r="R37" s="116">
        <f>'Forecast - Current'!K37</f>
        <v>654404</v>
      </c>
      <c r="S37" s="115">
        <f>SUM(S26:S36)</f>
        <v>776176</v>
      </c>
      <c r="T37" s="116">
        <f>'Forecast - Current'!L37</f>
        <v>654404</v>
      </c>
      <c r="U37" s="115">
        <f>SUM(U26:U36)</f>
        <v>717131</v>
      </c>
      <c r="V37" s="116">
        <f>'Forecast - Current'!M37</f>
        <v>669404</v>
      </c>
      <c r="W37" s="115">
        <f>SUM(W26:W36)</f>
        <v>758142</v>
      </c>
      <c r="X37" s="116">
        <f>'Forecast - Current'!N37</f>
        <v>664404</v>
      </c>
      <c r="Y37" s="115">
        <f>SUM(Y26:Y36)</f>
        <v>0</v>
      </c>
      <c r="Z37" s="116">
        <f>'Forecast - Current'!O37</f>
        <v>753714</v>
      </c>
      <c r="AA37" s="117">
        <f>SUM(AA26:AA36)</f>
        <v>0</v>
      </c>
      <c r="AB37" s="132">
        <f t="shared" si="1"/>
        <v>7693201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-303129</v>
      </c>
      <c r="D39" s="52">
        <f t="shared" ref="D39:AB39" si="2">D21-D37</f>
        <v>-172699</v>
      </c>
      <c r="E39" s="55">
        <f t="shared" si="2"/>
        <v>-147569</v>
      </c>
      <c r="F39" s="52">
        <f t="shared" si="2"/>
        <v>-76336</v>
      </c>
      <c r="G39" s="55">
        <f t="shared" si="2"/>
        <v>5542</v>
      </c>
      <c r="H39" s="52">
        <f t="shared" si="2"/>
        <v>133696</v>
      </c>
      <c r="I39" s="55">
        <f t="shared" si="2"/>
        <v>62089</v>
      </c>
      <c r="J39" s="52">
        <f t="shared" si="2"/>
        <v>-142833</v>
      </c>
      <c r="K39" s="55">
        <f t="shared" si="2"/>
        <v>-114502</v>
      </c>
      <c r="L39" s="52">
        <f t="shared" si="2"/>
        <v>-222874</v>
      </c>
      <c r="M39" s="55">
        <f t="shared" si="2"/>
        <v>135622</v>
      </c>
      <c r="N39" s="52">
        <f t="shared" si="2"/>
        <v>-72192</v>
      </c>
      <c r="O39" s="55">
        <f t="shared" si="2"/>
        <v>32272</v>
      </c>
      <c r="P39" s="52">
        <f t="shared" si="2"/>
        <v>47735</v>
      </c>
      <c r="Q39" s="55">
        <f t="shared" si="2"/>
        <v>-188554</v>
      </c>
      <c r="R39" s="52">
        <f t="shared" si="2"/>
        <v>45871</v>
      </c>
      <c r="S39" s="55">
        <f t="shared" si="2"/>
        <v>-41860</v>
      </c>
      <c r="T39" s="52">
        <f t="shared" si="2"/>
        <v>119243</v>
      </c>
      <c r="U39" s="55">
        <f t="shared" si="2"/>
        <v>79898</v>
      </c>
      <c r="V39" s="52">
        <f t="shared" si="2"/>
        <v>31367</v>
      </c>
      <c r="W39" s="55">
        <f t="shared" si="2"/>
        <v>44277</v>
      </c>
      <c r="X39" s="52">
        <f t="shared" si="2"/>
        <v>104247</v>
      </c>
      <c r="Y39" s="55">
        <f t="shared" si="2"/>
        <v>0</v>
      </c>
      <c r="Z39" s="52">
        <f t="shared" si="2"/>
        <v>-98354</v>
      </c>
      <c r="AA39" s="55">
        <f t="shared" si="2"/>
        <v>0</v>
      </c>
      <c r="AB39" s="55">
        <f t="shared" si="2"/>
        <v>-132785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801171</v>
      </c>
      <c r="D41" s="53">
        <f>C41</f>
        <v>801171</v>
      </c>
      <c r="E41" s="57">
        <f>C41</f>
        <v>801171</v>
      </c>
      <c r="F41" s="54">
        <f>D43</f>
        <v>628472</v>
      </c>
      <c r="G41" s="57">
        <f>E43</f>
        <v>653602</v>
      </c>
      <c r="H41" s="54">
        <f>F43</f>
        <v>552136</v>
      </c>
      <c r="I41" s="57">
        <f t="shared" ref="I41:AA41" si="3">G43</f>
        <v>659144</v>
      </c>
      <c r="J41" s="54">
        <f t="shared" si="3"/>
        <v>685832</v>
      </c>
      <c r="K41" s="57">
        <f t="shared" si="3"/>
        <v>721233</v>
      </c>
      <c r="L41" s="54">
        <f t="shared" si="3"/>
        <v>542999</v>
      </c>
      <c r="M41" s="57">
        <f t="shared" si="3"/>
        <v>606731</v>
      </c>
      <c r="N41" s="54">
        <f t="shared" si="3"/>
        <v>320125</v>
      </c>
      <c r="O41" s="57">
        <f t="shared" si="3"/>
        <v>742353</v>
      </c>
      <c r="P41" s="54">
        <f t="shared" si="3"/>
        <v>247933</v>
      </c>
      <c r="Q41" s="57">
        <f t="shared" si="3"/>
        <v>774625</v>
      </c>
      <c r="R41" s="54">
        <f t="shared" si="3"/>
        <v>295668</v>
      </c>
      <c r="S41" s="57">
        <f t="shared" si="3"/>
        <v>586071</v>
      </c>
      <c r="T41" s="54">
        <f t="shared" si="3"/>
        <v>341539</v>
      </c>
      <c r="U41" s="57">
        <f t="shared" si="3"/>
        <v>544211</v>
      </c>
      <c r="V41" s="54">
        <f t="shared" si="3"/>
        <v>460782</v>
      </c>
      <c r="W41" s="57">
        <f t="shared" si="3"/>
        <v>624109</v>
      </c>
      <c r="X41" s="54">
        <f t="shared" si="3"/>
        <v>492149</v>
      </c>
      <c r="Y41" s="57">
        <f t="shared" si="3"/>
        <v>668386</v>
      </c>
      <c r="Z41" s="54">
        <f t="shared" si="3"/>
        <v>596396</v>
      </c>
      <c r="AA41" s="57">
        <f t="shared" si="3"/>
        <v>668386</v>
      </c>
      <c r="AB41" s="55">
        <f>C41</f>
        <v>801171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498042</v>
      </c>
      <c r="D43" s="53">
        <f>D41+D39</f>
        <v>628472</v>
      </c>
      <c r="E43" s="56">
        <f>E41+E39</f>
        <v>653602</v>
      </c>
      <c r="F43" s="53">
        <f>F41+F39</f>
        <v>552136</v>
      </c>
      <c r="G43" s="56">
        <f t="shared" ref="G43:AB43" si="4">G41+G39</f>
        <v>659144</v>
      </c>
      <c r="H43" s="53">
        <f t="shared" si="4"/>
        <v>685832</v>
      </c>
      <c r="I43" s="56">
        <f t="shared" si="4"/>
        <v>721233</v>
      </c>
      <c r="J43" s="53">
        <f t="shared" si="4"/>
        <v>542999</v>
      </c>
      <c r="K43" s="56">
        <f t="shared" si="4"/>
        <v>606731</v>
      </c>
      <c r="L43" s="53">
        <f t="shared" si="4"/>
        <v>320125</v>
      </c>
      <c r="M43" s="56">
        <f t="shared" si="4"/>
        <v>742353</v>
      </c>
      <c r="N43" s="53">
        <f t="shared" si="4"/>
        <v>247933</v>
      </c>
      <c r="O43" s="56">
        <f t="shared" si="4"/>
        <v>774625</v>
      </c>
      <c r="P43" s="53">
        <f t="shared" si="4"/>
        <v>295668</v>
      </c>
      <c r="Q43" s="56">
        <f t="shared" si="4"/>
        <v>586071</v>
      </c>
      <c r="R43" s="53">
        <f t="shared" si="4"/>
        <v>341539</v>
      </c>
      <c r="S43" s="56">
        <f t="shared" si="4"/>
        <v>544211</v>
      </c>
      <c r="T43" s="53">
        <f t="shared" si="4"/>
        <v>460782</v>
      </c>
      <c r="U43" s="56">
        <f t="shared" si="4"/>
        <v>624109</v>
      </c>
      <c r="V43" s="53">
        <f t="shared" si="4"/>
        <v>492149</v>
      </c>
      <c r="W43" s="56">
        <f t="shared" si="4"/>
        <v>668386</v>
      </c>
      <c r="X43" s="53">
        <f t="shared" si="4"/>
        <v>596396</v>
      </c>
      <c r="Y43" s="56">
        <f t="shared" si="4"/>
        <v>668386</v>
      </c>
      <c r="Z43" s="53">
        <f t="shared" si="4"/>
        <v>498042</v>
      </c>
      <c r="AA43" s="56">
        <f t="shared" si="4"/>
        <v>668386</v>
      </c>
      <c r="AB43" s="56">
        <f t="shared" si="4"/>
        <v>668386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14" sqref="H14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15" t="s">
        <v>77</v>
      </c>
      <c r="G1" s="215"/>
      <c r="H1" s="144"/>
    </row>
    <row r="2" spans="1:9" ht="20.25" thickBot="1" x14ac:dyDescent="0.3">
      <c r="A2" s="1"/>
      <c r="B2" s="216" t="s">
        <v>45</v>
      </c>
      <c r="C2" s="217"/>
      <c r="D2" s="1"/>
      <c r="F2" s="218"/>
      <c r="G2" s="218"/>
      <c r="H2" s="145" t="s">
        <v>14</v>
      </c>
      <c r="I2" s="146" t="s">
        <v>62</v>
      </c>
    </row>
    <row r="3" spans="1:9" ht="20.25" thickBot="1" x14ac:dyDescent="0.3">
      <c r="A3" s="1"/>
      <c r="B3" s="219" t="s">
        <v>46</v>
      </c>
      <c r="C3" s="220"/>
      <c r="D3" s="1"/>
      <c r="F3" s="221" t="s">
        <v>63</v>
      </c>
      <c r="G3" s="221"/>
      <c r="H3" s="147">
        <v>6099031</v>
      </c>
      <c r="I3" s="162" t="s">
        <v>107</v>
      </c>
    </row>
    <row r="4" spans="1:9" x14ac:dyDescent="0.2">
      <c r="A4" s="1"/>
      <c r="B4" s="38">
        <v>1</v>
      </c>
      <c r="C4" s="41"/>
      <c r="D4" s="1"/>
      <c r="F4" s="213" t="s">
        <v>84</v>
      </c>
      <c r="G4" s="214"/>
      <c r="H4" s="147">
        <v>1637055</v>
      </c>
      <c r="I4" s="162" t="s">
        <v>107</v>
      </c>
    </row>
    <row r="5" spans="1:9" x14ac:dyDescent="0.2">
      <c r="A5" s="1"/>
      <c r="B5" s="39">
        <f t="shared" ref="B5:B28" si="0">B4+1</f>
        <v>2</v>
      </c>
      <c r="C5" s="40"/>
      <c r="D5" s="1"/>
      <c r="F5" s="221" t="s">
        <v>64</v>
      </c>
      <c r="G5" s="221"/>
      <c r="H5" s="147">
        <v>148980</v>
      </c>
      <c r="I5" s="162" t="s">
        <v>90</v>
      </c>
    </row>
    <row r="6" spans="1:9" x14ac:dyDescent="0.2">
      <c r="A6" s="1"/>
      <c r="B6" s="39">
        <f t="shared" si="0"/>
        <v>3</v>
      </c>
      <c r="C6" s="40"/>
      <c r="D6" s="1"/>
      <c r="F6" s="213" t="s">
        <v>65</v>
      </c>
      <c r="G6" s="214"/>
      <c r="H6" s="147">
        <v>22957</v>
      </c>
      <c r="I6" s="162" t="s">
        <v>91</v>
      </c>
    </row>
    <row r="7" spans="1:9" x14ac:dyDescent="0.2">
      <c r="A7" s="1"/>
      <c r="B7" s="39">
        <f t="shared" si="0"/>
        <v>4</v>
      </c>
      <c r="C7" s="40"/>
      <c r="D7" s="1"/>
      <c r="F7" s="213" t="s">
        <v>66</v>
      </c>
      <c r="G7" s="214"/>
      <c r="H7" s="147">
        <v>64875</v>
      </c>
      <c r="I7" s="162" t="s">
        <v>92</v>
      </c>
    </row>
    <row r="8" spans="1:9" x14ac:dyDescent="0.2">
      <c r="A8" s="1"/>
      <c r="B8" s="39">
        <f t="shared" si="0"/>
        <v>5</v>
      </c>
      <c r="C8" s="40"/>
      <c r="D8" s="1"/>
      <c r="F8" s="221" t="s">
        <v>68</v>
      </c>
      <c r="G8" s="221"/>
      <c r="H8" s="147">
        <v>28404</v>
      </c>
      <c r="I8" s="162" t="s">
        <v>12</v>
      </c>
    </row>
    <row r="9" spans="1:9" x14ac:dyDescent="0.2">
      <c r="A9" s="1"/>
      <c r="B9" s="39">
        <f t="shared" si="0"/>
        <v>6</v>
      </c>
      <c r="C9" s="40"/>
      <c r="D9" s="1"/>
      <c r="F9" s="221" t="s">
        <v>69</v>
      </c>
      <c r="G9" s="221"/>
      <c r="H9" s="147">
        <v>34048</v>
      </c>
      <c r="I9" s="162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13" t="s">
        <v>85</v>
      </c>
      <c r="G10" s="214"/>
      <c r="H10" s="147">
        <v>21669</v>
      </c>
      <c r="I10" s="162" t="s">
        <v>4</v>
      </c>
    </row>
    <row r="11" spans="1:9" x14ac:dyDescent="0.2">
      <c r="A11" s="1"/>
      <c r="B11" s="39">
        <f t="shared" si="0"/>
        <v>8</v>
      </c>
      <c r="C11" s="40"/>
      <c r="D11" s="1"/>
      <c r="F11" s="213" t="s">
        <v>86</v>
      </c>
      <c r="G11" s="214"/>
      <c r="H11" s="147">
        <v>22620</v>
      </c>
      <c r="I11" s="162" t="s">
        <v>94</v>
      </c>
    </row>
    <row r="12" spans="1:9" x14ac:dyDescent="0.2">
      <c r="A12" s="1"/>
      <c r="B12" s="39">
        <f t="shared" si="0"/>
        <v>9</v>
      </c>
      <c r="C12" s="40"/>
      <c r="D12" s="1"/>
      <c r="F12" s="221" t="s">
        <v>87</v>
      </c>
      <c r="G12" s="221"/>
      <c r="H12" s="147">
        <v>25108</v>
      </c>
      <c r="I12" s="162" t="s">
        <v>95</v>
      </c>
    </row>
    <row r="13" spans="1:9" x14ac:dyDescent="0.2">
      <c r="A13" s="1"/>
      <c r="B13" s="39">
        <f t="shared" si="0"/>
        <v>10</v>
      </c>
      <c r="C13" s="40"/>
      <c r="D13" s="1"/>
      <c r="F13" s="221" t="s">
        <v>106</v>
      </c>
      <c r="G13" s="221"/>
      <c r="H13" s="147">
        <v>71465</v>
      </c>
      <c r="I13" s="162" t="s">
        <v>108</v>
      </c>
    </row>
    <row r="14" spans="1:9" x14ac:dyDescent="0.2">
      <c r="A14" s="1"/>
      <c r="B14" s="39">
        <f t="shared" si="0"/>
        <v>11</v>
      </c>
      <c r="C14" s="40"/>
      <c r="D14" s="1"/>
      <c r="F14" s="222" t="s">
        <v>14</v>
      </c>
      <c r="G14" s="222"/>
      <c r="H14" s="149">
        <f>SUM(H3:H13)</f>
        <v>8176212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23" t="s">
        <v>78</v>
      </c>
      <c r="G16" s="223"/>
      <c r="H16" s="223"/>
    </row>
    <row r="17" spans="1:9" x14ac:dyDescent="0.2">
      <c r="A17" s="1"/>
      <c r="B17" s="39">
        <f t="shared" si="0"/>
        <v>14</v>
      </c>
      <c r="C17" s="40"/>
      <c r="D17" s="1"/>
      <c r="F17" s="218"/>
      <c r="G17" s="218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24" t="s">
        <v>70</v>
      </c>
      <c r="G18" s="224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22" t="s">
        <v>14</v>
      </c>
      <c r="G19" s="222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23" t="s">
        <v>15</v>
      </c>
      <c r="G21" s="223"/>
      <c r="H21" s="223"/>
    </row>
    <row r="22" spans="1:9" x14ac:dyDescent="0.2">
      <c r="A22" s="1"/>
      <c r="B22" s="39">
        <f t="shared" si="0"/>
        <v>19</v>
      </c>
      <c r="C22" s="40"/>
      <c r="D22" s="1"/>
      <c r="F22" s="218"/>
      <c r="G22" s="218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24" t="s">
        <v>15</v>
      </c>
      <c r="G23" s="224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22" t="s">
        <v>14</v>
      </c>
      <c r="G24" s="222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23" t="s">
        <v>79</v>
      </c>
      <c r="G26" s="223"/>
      <c r="H26" s="223"/>
    </row>
    <row r="27" spans="1:9" x14ac:dyDescent="0.2">
      <c r="A27" s="1"/>
      <c r="B27" s="39">
        <f t="shared" si="0"/>
        <v>24</v>
      </c>
      <c r="C27" s="40"/>
      <c r="D27" s="1"/>
      <c r="F27" s="218"/>
      <c r="G27" s="218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24" t="s">
        <v>79</v>
      </c>
      <c r="G28" s="224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22" t="s">
        <v>14</v>
      </c>
      <c r="G29" s="222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23" t="s">
        <v>98</v>
      </c>
      <c r="G31" s="223"/>
      <c r="H31" s="223"/>
      <c r="I31" s="223"/>
    </row>
    <row r="32" spans="1:9" x14ac:dyDescent="0.2">
      <c r="F32" s="218"/>
      <c r="G32" s="218"/>
      <c r="H32" s="153" t="s">
        <v>14</v>
      </c>
      <c r="I32" s="162" t="s">
        <v>62</v>
      </c>
    </row>
    <row r="33" spans="6:9" x14ac:dyDescent="0.2">
      <c r="F33" s="225" t="s">
        <v>99</v>
      </c>
      <c r="G33" s="226"/>
      <c r="H33" s="147">
        <v>6748880</v>
      </c>
      <c r="I33" s="162" t="s">
        <v>101</v>
      </c>
    </row>
    <row r="34" spans="6:9" x14ac:dyDescent="0.2">
      <c r="F34" s="225"/>
      <c r="G34" s="226"/>
      <c r="H34" s="160"/>
      <c r="I34" s="162"/>
    </row>
    <row r="35" spans="6:9" x14ac:dyDescent="0.2">
      <c r="F35" s="225" t="s">
        <v>100</v>
      </c>
      <c r="G35" s="226"/>
      <c r="H35" s="147">
        <v>230600</v>
      </c>
      <c r="I35" s="162" t="s">
        <v>102</v>
      </c>
    </row>
    <row r="36" spans="6:9" x14ac:dyDescent="0.2">
      <c r="F36" s="225"/>
      <c r="G36" s="226"/>
      <c r="H36" s="153"/>
      <c r="I36" s="162"/>
    </row>
    <row r="37" spans="6:9" x14ac:dyDescent="0.2">
      <c r="F37" s="221" t="s">
        <v>71</v>
      </c>
      <c r="G37" s="221"/>
      <c r="H37" s="147">
        <v>35000</v>
      </c>
      <c r="I37" s="162" t="s">
        <v>3</v>
      </c>
    </row>
    <row r="38" spans="6:9" x14ac:dyDescent="0.2">
      <c r="F38" s="213" t="s">
        <v>72</v>
      </c>
      <c r="G38" s="214"/>
      <c r="H38" s="147">
        <v>140000</v>
      </c>
      <c r="I38" s="162" t="s">
        <v>103</v>
      </c>
    </row>
    <row r="39" spans="6:9" x14ac:dyDescent="0.2">
      <c r="F39" s="221" t="s">
        <v>73</v>
      </c>
      <c r="G39" s="221"/>
      <c r="H39" s="147">
        <v>21808</v>
      </c>
      <c r="I39" s="162" t="s">
        <v>74</v>
      </c>
    </row>
    <row r="40" spans="6:9" x14ac:dyDescent="0.2">
      <c r="F40" s="213"/>
      <c r="G40" s="214"/>
      <c r="H40" s="147"/>
      <c r="I40" s="162"/>
    </row>
    <row r="41" spans="6:9" x14ac:dyDescent="0.2">
      <c r="F41" s="221" t="s">
        <v>75</v>
      </c>
      <c r="G41" s="221"/>
      <c r="H41" s="147">
        <v>1366229</v>
      </c>
      <c r="I41" s="162" t="s">
        <v>104</v>
      </c>
    </row>
    <row r="42" spans="6:9" x14ac:dyDescent="0.2">
      <c r="F42" s="222" t="s">
        <v>14</v>
      </c>
      <c r="G42" s="222"/>
      <c r="H42" s="149">
        <f>SUM(H33:H41)</f>
        <v>8542517</v>
      </c>
      <c r="I42" s="3"/>
    </row>
  </sheetData>
  <mergeCells count="40">
    <mergeCell ref="F39:G39"/>
    <mergeCell ref="F40:G40"/>
    <mergeCell ref="F41:G41"/>
    <mergeCell ref="F42:G42"/>
    <mergeCell ref="F12:G12"/>
    <mergeCell ref="F33:G33"/>
    <mergeCell ref="F34:G34"/>
    <mergeCell ref="F35:G35"/>
    <mergeCell ref="F36:G36"/>
    <mergeCell ref="F37:G37"/>
    <mergeCell ref="F38:G38"/>
    <mergeCell ref="F26:H26"/>
    <mergeCell ref="F27:G27"/>
    <mergeCell ref="F28:G28"/>
    <mergeCell ref="F29:G29"/>
    <mergeCell ref="F31:I31"/>
    <mergeCell ref="F32:G32"/>
    <mergeCell ref="F18:G18"/>
    <mergeCell ref="F19:G19"/>
    <mergeCell ref="F21:H21"/>
    <mergeCell ref="F22:G22"/>
    <mergeCell ref="F23:G23"/>
    <mergeCell ref="F24:G24"/>
    <mergeCell ref="F17:G17"/>
    <mergeCell ref="F5:G5"/>
    <mergeCell ref="F6:G6"/>
    <mergeCell ref="F7:G7"/>
    <mergeCell ref="F8:G8"/>
    <mergeCell ref="F9:G9"/>
    <mergeCell ref="F10:G10"/>
    <mergeCell ref="F11:G11"/>
    <mergeCell ref="F13:G13"/>
    <mergeCell ref="F14:G14"/>
    <mergeCell ref="F16:H16"/>
    <mergeCell ref="F4:G4"/>
    <mergeCell ref="F1:G1"/>
    <mergeCell ref="B2:C2"/>
    <mergeCell ref="F2:G2"/>
    <mergeCell ref="B3:C3"/>
    <mergeCell ref="F3:G3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16" workbookViewId="0">
      <selection activeCell="K43" sqref="K4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61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5"/>
      <c r="D5" s="16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9"/>
      <c r="P5" s="165"/>
      <c r="Q5" s="171"/>
      <c r="R5" s="1"/>
    </row>
    <row r="6" spans="1:18" s="3" customFormat="1" ht="9.9499999999999993" customHeight="1" thickBot="1" x14ac:dyDescent="0.25">
      <c r="A6" s="4"/>
      <c r="B6" s="9"/>
      <c r="C6" s="166"/>
      <c r="D6" s="168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70"/>
      <c r="P6" s="166"/>
      <c r="Q6" s="172"/>
      <c r="R6" s="4"/>
    </row>
    <row r="7" spans="1:18" x14ac:dyDescent="0.2">
      <c r="A7" s="1"/>
      <c r="B7" s="12" t="s">
        <v>105</v>
      </c>
      <c r="C7" s="94">
        <v>7985900</v>
      </c>
      <c r="D7" s="95">
        <f>508252+124844+13384</f>
        <v>646480</v>
      </c>
      <c r="E7" s="95">
        <f>508252+124844+37245+5655+6277</f>
        <v>682273</v>
      </c>
      <c r="F7" s="95">
        <f>508252+124844+13391+37844+21669</f>
        <v>706000</v>
      </c>
      <c r="G7" s="95">
        <f t="shared" ref="G7:M7" si="0">508252+124844</f>
        <v>633096</v>
      </c>
      <c r="H7" s="95">
        <f>508252+124844+37245+5655+6277</f>
        <v>682273</v>
      </c>
      <c r="I7" s="95">
        <f t="shared" si="0"/>
        <v>633096</v>
      </c>
      <c r="J7" s="95">
        <f t="shared" si="0"/>
        <v>633096</v>
      </c>
      <c r="K7" s="95">
        <f>508252+124844+37245+6691</f>
        <v>677032</v>
      </c>
      <c r="L7" s="95">
        <f>508252+124844+9566+27031+34048+5655+6277</f>
        <v>715673</v>
      </c>
      <c r="M7" s="95">
        <f t="shared" si="0"/>
        <v>633096</v>
      </c>
      <c r="N7" s="95">
        <f>508252+124844+37245+28404+5655+6277</f>
        <v>710677</v>
      </c>
      <c r="O7" s="95">
        <f>508252+124844+12</f>
        <v>633108</v>
      </c>
      <c r="P7" s="100">
        <f>SUM(D7:O7)</f>
        <v>7985900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f>35274</f>
        <v>35274</v>
      </c>
      <c r="J9" s="90"/>
      <c r="K9" s="90"/>
      <c r="L9" s="90"/>
      <c r="M9" s="90">
        <f>35276</f>
        <v>35276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f>12083</f>
        <v>12083</v>
      </c>
      <c r="E11" s="89">
        <f>12083</f>
        <v>12083</v>
      </c>
      <c r="F11" s="89">
        <f>12083</f>
        <v>12083</v>
      </c>
      <c r="G11" s="89">
        <f>12083</f>
        <v>12083</v>
      </c>
      <c r="H11" s="89">
        <f>12083</f>
        <v>12083</v>
      </c>
      <c r="I11" s="89">
        <f>12083</f>
        <v>12083</v>
      </c>
      <c r="J11" s="89">
        <f>12083</f>
        <v>12083</v>
      </c>
      <c r="K11" s="89">
        <f>12083</f>
        <v>12083</v>
      </c>
      <c r="L11" s="89">
        <f>12083</f>
        <v>12083</v>
      </c>
      <c r="M11" s="89">
        <f>12083</f>
        <v>12083</v>
      </c>
      <c r="N11" s="89">
        <f>12083</f>
        <v>12083</v>
      </c>
      <c r="O11" s="89">
        <f>12087</f>
        <v>12087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8259087</v>
      </c>
      <c r="D21" s="74">
        <f t="shared" ref="D21:O21" si="1">SUM(D7:D20)</f>
        <v>666946</v>
      </c>
      <c r="E21" s="74">
        <f t="shared" si="1"/>
        <v>730900</v>
      </c>
      <c r="F21" s="74">
        <f t="shared" si="1"/>
        <v>719353</v>
      </c>
      <c r="G21" s="74">
        <f t="shared" si="1"/>
        <v>646449</v>
      </c>
      <c r="H21" s="74">
        <f t="shared" si="1"/>
        <v>695626</v>
      </c>
      <c r="I21" s="74">
        <f t="shared" si="1"/>
        <v>681723</v>
      </c>
      <c r="J21" s="74">
        <f t="shared" si="1"/>
        <v>646449</v>
      </c>
      <c r="K21" s="74">
        <f t="shared" si="1"/>
        <v>690385</v>
      </c>
      <c r="L21" s="74">
        <f t="shared" si="1"/>
        <v>729026</v>
      </c>
      <c r="M21" s="74">
        <f t="shared" si="1"/>
        <v>681725</v>
      </c>
      <c r="N21" s="74">
        <f t="shared" si="1"/>
        <v>724030</v>
      </c>
      <c r="O21" s="75">
        <f t="shared" si="1"/>
        <v>646475</v>
      </c>
      <c r="P21" s="73">
        <f>SUM(D21:O21)</f>
        <v>8259087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3"/>
      <c r="D24" s="175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81"/>
      <c r="P24" s="173"/>
      <c r="Q24" s="179"/>
      <c r="R24" s="1"/>
    </row>
    <row r="25" spans="1:18" ht="9.9499999999999993" customHeight="1" thickBot="1" x14ac:dyDescent="0.25">
      <c r="A25" s="1"/>
      <c r="B25" s="6"/>
      <c r="C25" s="174"/>
      <c r="D25" s="176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82"/>
      <c r="P25" s="174"/>
      <c r="Q25" s="180"/>
      <c r="R25" s="1"/>
    </row>
    <row r="26" spans="1:18" x14ac:dyDescent="0.2">
      <c r="A26" s="1"/>
      <c r="B26" s="14" t="s">
        <v>22</v>
      </c>
      <c r="C26" s="86">
        <v>6710752</v>
      </c>
      <c r="D26" s="87">
        <f>559229</f>
        <v>559229</v>
      </c>
      <c r="E26" s="87">
        <f t="shared" ref="E26:N26" si="2">559229</f>
        <v>559229</v>
      </c>
      <c r="F26" s="87">
        <f t="shared" si="2"/>
        <v>559229</v>
      </c>
      <c r="G26" s="87">
        <f t="shared" si="2"/>
        <v>559229</v>
      </c>
      <c r="H26" s="87">
        <f t="shared" si="2"/>
        <v>559229</v>
      </c>
      <c r="I26" s="87">
        <f t="shared" si="2"/>
        <v>559229</v>
      </c>
      <c r="J26" s="87">
        <f t="shared" si="2"/>
        <v>559229</v>
      </c>
      <c r="K26" s="87">
        <f t="shared" si="2"/>
        <v>559229</v>
      </c>
      <c r="L26" s="87">
        <f t="shared" si="2"/>
        <v>559229</v>
      </c>
      <c r="M26" s="87">
        <f t="shared" si="2"/>
        <v>559229</v>
      </c>
      <c r="N26" s="87">
        <f t="shared" si="2"/>
        <v>559229</v>
      </c>
      <c r="O26" s="87">
        <f>559229+4</f>
        <v>559233</v>
      </c>
      <c r="P26" s="92">
        <f>SUM(D26:O26)</f>
        <v>6710752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3">113852</f>
        <v>113852</v>
      </c>
      <c r="G30" s="89">
        <f t="shared" si="3"/>
        <v>113852</v>
      </c>
      <c r="H30" s="89">
        <f>113852+85000</f>
        <v>198852</v>
      </c>
      <c r="I30" s="89">
        <f t="shared" si="3"/>
        <v>113852</v>
      </c>
      <c r="J30" s="89">
        <f>113852+10904</f>
        <v>124756</v>
      </c>
      <c r="K30" s="89">
        <f t="shared" si="3"/>
        <v>113852</v>
      </c>
      <c r="L30" s="89">
        <f t="shared" si="3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f>198600</f>
        <v>198600</v>
      </c>
      <c r="H32" s="90"/>
      <c r="I32" s="90"/>
      <c r="J32" s="90"/>
      <c r="K32" s="90"/>
      <c r="L32" s="90"/>
      <c r="M32" s="90"/>
      <c r="N32" s="90"/>
      <c r="O32" s="91"/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8714400</v>
      </c>
      <c r="D37" s="78">
        <f t="shared" ref="D37:O37" si="4">SUM(D26:D36)</f>
        <v>856018</v>
      </c>
      <c r="E37" s="78">
        <f t="shared" si="4"/>
        <v>808059</v>
      </c>
      <c r="F37" s="78">
        <f t="shared" si="4"/>
        <v>673081</v>
      </c>
      <c r="G37" s="78">
        <f t="shared" si="4"/>
        <v>871681</v>
      </c>
      <c r="H37" s="78">
        <f t="shared" si="4"/>
        <v>758081</v>
      </c>
      <c r="I37" s="78">
        <f t="shared" si="4"/>
        <v>673081</v>
      </c>
      <c r="J37" s="78">
        <f t="shared" si="4"/>
        <v>683985</v>
      </c>
      <c r="K37" s="78">
        <f t="shared" si="4"/>
        <v>673081</v>
      </c>
      <c r="L37" s="78">
        <f t="shared" si="4"/>
        <v>673081</v>
      </c>
      <c r="M37" s="78">
        <f t="shared" si="4"/>
        <v>688081</v>
      </c>
      <c r="N37" s="78">
        <f t="shared" si="4"/>
        <v>683081</v>
      </c>
      <c r="O37" s="79">
        <f t="shared" si="4"/>
        <v>673090</v>
      </c>
      <c r="P37" s="77">
        <f>SUM(D37:O37)</f>
        <v>8714400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-455313</v>
      </c>
      <c r="D39" s="77">
        <f>D21-D37</f>
        <v>-189072</v>
      </c>
      <c r="E39" s="77">
        <f t="shared" ref="E39:P39" si="5">E21-E37</f>
        <v>-77159</v>
      </c>
      <c r="F39" s="77">
        <f t="shared" si="5"/>
        <v>46272</v>
      </c>
      <c r="G39" s="77">
        <f t="shared" si="5"/>
        <v>-225232</v>
      </c>
      <c r="H39" s="77">
        <f t="shared" si="5"/>
        <v>-62455</v>
      </c>
      <c r="I39" s="77">
        <f t="shared" si="5"/>
        <v>8642</v>
      </c>
      <c r="J39" s="77">
        <f t="shared" si="5"/>
        <v>-37536</v>
      </c>
      <c r="K39" s="77">
        <f t="shared" si="5"/>
        <v>17304</v>
      </c>
      <c r="L39" s="77">
        <f t="shared" si="5"/>
        <v>55945</v>
      </c>
      <c r="M39" s="77">
        <f t="shared" si="5"/>
        <v>-6356</v>
      </c>
      <c r="N39" s="77">
        <f t="shared" si="5"/>
        <v>40949</v>
      </c>
      <c r="O39" s="77">
        <f t="shared" si="5"/>
        <v>-26615</v>
      </c>
      <c r="P39" s="77">
        <f t="shared" si="5"/>
        <v>-455313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612099</v>
      </c>
      <c r="F41" s="85">
        <f t="shared" ref="F41:O41" si="6">E41+E39</f>
        <v>534940</v>
      </c>
      <c r="G41" s="85">
        <f t="shared" si="6"/>
        <v>581212</v>
      </c>
      <c r="H41" s="85">
        <f t="shared" si="6"/>
        <v>355980</v>
      </c>
      <c r="I41" s="85">
        <f t="shared" si="6"/>
        <v>293525</v>
      </c>
      <c r="J41" s="85">
        <f t="shared" si="6"/>
        <v>302167</v>
      </c>
      <c r="K41" s="85">
        <f t="shared" si="6"/>
        <v>264631</v>
      </c>
      <c r="L41" s="85">
        <f t="shared" si="6"/>
        <v>281935</v>
      </c>
      <c r="M41" s="85">
        <f t="shared" si="6"/>
        <v>337880</v>
      </c>
      <c r="N41" s="85">
        <f t="shared" si="6"/>
        <v>331524</v>
      </c>
      <c r="O41" s="85">
        <f t="shared" si="6"/>
        <v>372473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345858</v>
      </c>
      <c r="D43" s="77">
        <f t="shared" ref="D43:O43" si="7">D41+D39</f>
        <v>612099</v>
      </c>
      <c r="E43" s="77">
        <f t="shared" si="7"/>
        <v>534940</v>
      </c>
      <c r="F43" s="77">
        <f t="shared" si="7"/>
        <v>581212</v>
      </c>
      <c r="G43" s="77">
        <f t="shared" si="7"/>
        <v>355980</v>
      </c>
      <c r="H43" s="77">
        <f t="shared" si="7"/>
        <v>293525</v>
      </c>
      <c r="I43" s="77">
        <f t="shared" si="7"/>
        <v>302167</v>
      </c>
      <c r="J43" s="77">
        <f t="shared" si="7"/>
        <v>264631</v>
      </c>
      <c r="K43" s="77">
        <f t="shared" si="7"/>
        <v>281935</v>
      </c>
      <c r="L43" s="77">
        <f t="shared" si="7"/>
        <v>337880</v>
      </c>
      <c r="M43" s="77">
        <f t="shared" si="7"/>
        <v>331524</v>
      </c>
      <c r="N43" s="77">
        <f t="shared" si="7"/>
        <v>372473</v>
      </c>
      <c r="O43" s="77">
        <f t="shared" si="7"/>
        <v>345858</v>
      </c>
      <c r="P43" s="77">
        <f>O43</f>
        <v>345858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42" sqref="H4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15" t="s">
        <v>77</v>
      </c>
      <c r="G1" s="215"/>
      <c r="H1" s="144"/>
    </row>
    <row r="2" spans="1:9" ht="20.25" thickBot="1" x14ac:dyDescent="0.3">
      <c r="A2" s="1"/>
      <c r="B2" s="216" t="s">
        <v>45</v>
      </c>
      <c r="C2" s="217"/>
      <c r="D2" s="1"/>
      <c r="F2" s="218"/>
      <c r="G2" s="218"/>
      <c r="H2" s="145" t="s">
        <v>14</v>
      </c>
      <c r="I2" s="146" t="s">
        <v>62</v>
      </c>
    </row>
    <row r="3" spans="1:9" ht="20.25" thickBot="1" x14ac:dyDescent="0.3">
      <c r="A3" s="1"/>
      <c r="B3" s="219" t="s">
        <v>46</v>
      </c>
      <c r="C3" s="220"/>
      <c r="D3" s="1"/>
      <c r="F3" s="221" t="s">
        <v>63</v>
      </c>
      <c r="G3" s="221"/>
      <c r="H3" s="147">
        <v>6099031</v>
      </c>
      <c r="I3" s="148" t="s">
        <v>89</v>
      </c>
    </row>
    <row r="4" spans="1:9" x14ac:dyDescent="0.2">
      <c r="A4" s="1"/>
      <c r="B4" s="38">
        <v>1</v>
      </c>
      <c r="C4" s="41"/>
      <c r="D4" s="1"/>
      <c r="F4" s="213" t="s">
        <v>84</v>
      </c>
      <c r="G4" s="214"/>
      <c r="H4" s="147">
        <v>1498132</v>
      </c>
      <c r="I4" s="156" t="s">
        <v>88</v>
      </c>
    </row>
    <row r="5" spans="1:9" x14ac:dyDescent="0.2">
      <c r="A5" s="1"/>
      <c r="B5" s="39">
        <f t="shared" ref="B5:B28" si="0">B4+1</f>
        <v>2</v>
      </c>
      <c r="C5" s="40"/>
      <c r="D5" s="1"/>
      <c r="F5" s="221" t="s">
        <v>64</v>
      </c>
      <c r="G5" s="221"/>
      <c r="H5" s="147">
        <v>148980</v>
      </c>
      <c r="I5" s="148" t="s">
        <v>90</v>
      </c>
    </row>
    <row r="6" spans="1:9" x14ac:dyDescent="0.2">
      <c r="A6" s="1"/>
      <c r="B6" s="39">
        <f t="shared" si="0"/>
        <v>3</v>
      </c>
      <c r="C6" s="40"/>
      <c r="D6" s="1"/>
      <c r="F6" s="213" t="s">
        <v>65</v>
      </c>
      <c r="G6" s="214"/>
      <c r="H6" s="147">
        <v>22957</v>
      </c>
      <c r="I6" s="148" t="s">
        <v>91</v>
      </c>
    </row>
    <row r="7" spans="1:9" x14ac:dyDescent="0.2">
      <c r="A7" s="1"/>
      <c r="B7" s="39">
        <f t="shared" si="0"/>
        <v>4</v>
      </c>
      <c r="C7" s="40"/>
      <c r="D7" s="1"/>
      <c r="F7" s="213" t="s">
        <v>66</v>
      </c>
      <c r="G7" s="214"/>
      <c r="H7" s="147">
        <v>64875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21" t="s">
        <v>67</v>
      </c>
      <c r="G8" s="221"/>
      <c r="H8" s="147">
        <v>20075</v>
      </c>
      <c r="I8" s="148" t="s">
        <v>93</v>
      </c>
    </row>
    <row r="9" spans="1:9" x14ac:dyDescent="0.2">
      <c r="A9" s="1"/>
      <c r="B9" s="39">
        <f t="shared" si="0"/>
        <v>6</v>
      </c>
      <c r="C9" s="40"/>
      <c r="D9" s="1"/>
      <c r="F9" s="221" t="s">
        <v>68</v>
      </c>
      <c r="G9" s="221"/>
      <c r="H9" s="147">
        <v>28404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21" t="s">
        <v>69</v>
      </c>
      <c r="G10" s="221"/>
      <c r="H10" s="147">
        <v>34048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3" t="s">
        <v>85</v>
      </c>
      <c r="G11" s="214"/>
      <c r="H11" s="147">
        <v>21669</v>
      </c>
      <c r="I11" s="156" t="s">
        <v>4</v>
      </c>
    </row>
    <row r="12" spans="1:9" x14ac:dyDescent="0.2">
      <c r="A12" s="1"/>
      <c r="B12" s="39">
        <f t="shared" si="0"/>
        <v>9</v>
      </c>
      <c r="C12" s="40"/>
      <c r="D12" s="1"/>
      <c r="F12" s="213" t="s">
        <v>86</v>
      </c>
      <c r="G12" s="214"/>
      <c r="H12" s="147">
        <v>22620</v>
      </c>
      <c r="I12" s="156" t="s">
        <v>94</v>
      </c>
    </row>
    <row r="13" spans="1:9" x14ac:dyDescent="0.2">
      <c r="A13" s="1"/>
      <c r="B13" s="39">
        <f t="shared" si="0"/>
        <v>10</v>
      </c>
      <c r="C13" s="40"/>
      <c r="D13" s="1"/>
      <c r="F13" s="221" t="s">
        <v>87</v>
      </c>
      <c r="G13" s="221"/>
      <c r="H13" s="147">
        <v>25109</v>
      </c>
      <c r="I13" s="148" t="s">
        <v>95</v>
      </c>
    </row>
    <row r="14" spans="1:9" x14ac:dyDescent="0.2">
      <c r="A14" s="1"/>
      <c r="B14" s="39">
        <f t="shared" si="0"/>
        <v>11</v>
      </c>
      <c r="C14" s="40"/>
      <c r="D14" s="1"/>
      <c r="F14" s="222" t="s">
        <v>14</v>
      </c>
      <c r="G14" s="222"/>
      <c r="H14" s="149">
        <f>SUM(H3:H13)</f>
        <v>7985900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23" t="s">
        <v>78</v>
      </c>
      <c r="G16" s="223"/>
      <c r="H16" s="223"/>
    </row>
    <row r="17" spans="1:9" x14ac:dyDescent="0.2">
      <c r="A17" s="1"/>
      <c r="B17" s="39">
        <f t="shared" si="0"/>
        <v>14</v>
      </c>
      <c r="C17" s="40"/>
      <c r="D17" s="1"/>
      <c r="F17" s="218"/>
      <c r="G17" s="218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24" t="s">
        <v>70</v>
      </c>
      <c r="G18" s="224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22" t="s">
        <v>14</v>
      </c>
      <c r="G19" s="222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23" t="s">
        <v>15</v>
      </c>
      <c r="G21" s="223"/>
      <c r="H21" s="223"/>
    </row>
    <row r="22" spans="1:9" x14ac:dyDescent="0.2">
      <c r="A22" s="1"/>
      <c r="B22" s="39">
        <f t="shared" si="0"/>
        <v>19</v>
      </c>
      <c r="C22" s="40"/>
      <c r="D22" s="1"/>
      <c r="F22" s="218"/>
      <c r="G22" s="218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24" t="s">
        <v>15</v>
      </c>
      <c r="G23" s="224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22" t="s">
        <v>14</v>
      </c>
      <c r="G24" s="222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23" t="s">
        <v>79</v>
      </c>
      <c r="G26" s="223"/>
      <c r="H26" s="223"/>
    </row>
    <row r="27" spans="1:9" x14ac:dyDescent="0.2">
      <c r="A27" s="1"/>
      <c r="B27" s="39">
        <f t="shared" si="0"/>
        <v>24</v>
      </c>
      <c r="C27" s="40"/>
      <c r="D27" s="1"/>
      <c r="F27" s="218"/>
      <c r="G27" s="218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24" t="s">
        <v>79</v>
      </c>
      <c r="G28" s="224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22" t="s">
        <v>14</v>
      </c>
      <c r="G29" s="222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23" t="s">
        <v>98</v>
      </c>
      <c r="G31" s="223"/>
      <c r="H31" s="223"/>
      <c r="I31" s="223"/>
    </row>
    <row r="32" spans="1:9" x14ac:dyDescent="0.2">
      <c r="F32" s="218"/>
      <c r="G32" s="218"/>
      <c r="H32" s="153" t="s">
        <v>14</v>
      </c>
      <c r="I32" s="148" t="s">
        <v>62</v>
      </c>
    </row>
    <row r="33" spans="6:9" x14ac:dyDescent="0.2">
      <c r="F33" s="225" t="s">
        <v>99</v>
      </c>
      <c r="G33" s="226"/>
      <c r="H33" s="147">
        <v>6710752</v>
      </c>
      <c r="I33" s="157" t="s">
        <v>101</v>
      </c>
    </row>
    <row r="34" spans="6:9" x14ac:dyDescent="0.2">
      <c r="F34" s="225"/>
      <c r="G34" s="226"/>
      <c r="H34" s="160"/>
      <c r="I34" s="157"/>
    </row>
    <row r="35" spans="6:9" x14ac:dyDescent="0.2">
      <c r="F35" s="225" t="s">
        <v>100</v>
      </c>
      <c r="G35" s="226"/>
      <c r="H35" s="147">
        <v>230600</v>
      </c>
      <c r="I35" s="157" t="s">
        <v>102</v>
      </c>
    </row>
    <row r="36" spans="6:9" x14ac:dyDescent="0.2">
      <c r="F36" s="225"/>
      <c r="G36" s="226"/>
      <c r="H36" s="153"/>
      <c r="I36" s="157"/>
    </row>
    <row r="37" spans="6:9" x14ac:dyDescent="0.2">
      <c r="F37" s="221" t="s">
        <v>71</v>
      </c>
      <c r="G37" s="221"/>
      <c r="H37" s="147">
        <v>35000</v>
      </c>
      <c r="I37" s="148" t="s">
        <v>3</v>
      </c>
    </row>
    <row r="38" spans="6:9" x14ac:dyDescent="0.2">
      <c r="F38" s="213" t="s">
        <v>72</v>
      </c>
      <c r="G38" s="214"/>
      <c r="H38" s="147">
        <v>140000</v>
      </c>
      <c r="I38" s="148" t="s">
        <v>103</v>
      </c>
    </row>
    <row r="39" spans="6:9" x14ac:dyDescent="0.2">
      <c r="F39" s="221" t="s">
        <v>73</v>
      </c>
      <c r="G39" s="221"/>
      <c r="H39" s="147">
        <v>21808</v>
      </c>
      <c r="I39" s="148" t="s">
        <v>74</v>
      </c>
    </row>
    <row r="40" spans="6:9" x14ac:dyDescent="0.2">
      <c r="F40" s="213"/>
      <c r="G40" s="214"/>
      <c r="H40" s="147"/>
      <c r="I40" s="157"/>
    </row>
    <row r="41" spans="6:9" x14ac:dyDescent="0.2">
      <c r="F41" s="221" t="s">
        <v>75</v>
      </c>
      <c r="G41" s="221"/>
      <c r="H41" s="147">
        <v>1366229</v>
      </c>
      <c r="I41" s="148" t="s">
        <v>104</v>
      </c>
    </row>
    <row r="42" spans="6:9" x14ac:dyDescent="0.2">
      <c r="F42" s="222" t="s">
        <v>14</v>
      </c>
      <c r="G42" s="222"/>
      <c r="H42" s="149">
        <f>SUM(H33:H41)</f>
        <v>8504389</v>
      </c>
      <c r="I42" s="3"/>
    </row>
  </sheetData>
  <mergeCells count="40">
    <mergeCell ref="F21:H21"/>
    <mergeCell ref="F22:G22"/>
    <mergeCell ref="F39:G39"/>
    <mergeCell ref="F41:G41"/>
    <mergeCell ref="F32:G32"/>
    <mergeCell ref="F37:G37"/>
    <mergeCell ref="F38:G38"/>
    <mergeCell ref="F33:G33"/>
    <mergeCell ref="F40:G40"/>
    <mergeCell ref="F34:G34"/>
    <mergeCell ref="F35:G35"/>
    <mergeCell ref="F27:G27"/>
    <mergeCell ref="F23:G23"/>
    <mergeCell ref="F28:G28"/>
    <mergeCell ref="F29:G29"/>
    <mergeCell ref="F24:G24"/>
    <mergeCell ref="F42:G42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3:G13"/>
    <mergeCell ref="F14:G14"/>
    <mergeCell ref="F16:H16"/>
    <mergeCell ref="F26:H26"/>
    <mergeCell ref="F36:G36"/>
    <mergeCell ref="F31:I31"/>
    <mergeCell ref="B2:C2"/>
    <mergeCell ref="B3:C3"/>
    <mergeCell ref="F17:G17"/>
    <mergeCell ref="F18:G18"/>
    <mergeCell ref="F19:G19"/>
    <mergeCell ref="F12:G12"/>
    <mergeCell ref="F11:G11"/>
    <mergeCell ref="F4:G4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 April</vt:lpstr>
      <vt:lpstr>Archive Forecast Sept</vt:lpstr>
      <vt:lpstr>Notes - Sept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2022-04-25T14:13:08Z</cp:lastPrinted>
  <dcterms:created xsi:type="dcterms:W3CDTF">2018-10-18T12:28:19Z</dcterms:created>
  <dcterms:modified xsi:type="dcterms:W3CDTF">2022-09-22T10:18:47Z</dcterms:modified>
</cp:coreProperties>
</file>