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6" i="2"/>
  <c r="M28" i="2"/>
  <c r="M15" i="2"/>
  <c r="M13" i="2"/>
  <c r="M11" i="2"/>
  <c r="M7" i="2"/>
  <c r="O30" i="6" l="1"/>
  <c r="J30" i="6"/>
  <c r="N30" i="6"/>
  <c r="M30" i="6"/>
  <c r="H30" i="6"/>
  <c r="I30" i="6"/>
  <c r="K30" i="6"/>
  <c r="L30" i="6"/>
  <c r="O7" i="6"/>
  <c r="N7" i="6"/>
  <c r="M7" i="6"/>
  <c r="L7" i="6"/>
  <c r="K7" i="6"/>
  <c r="J7" i="6"/>
  <c r="I7" i="6"/>
  <c r="H7" i="6"/>
  <c r="G7" i="6"/>
  <c r="F7" i="6"/>
  <c r="E7" i="6"/>
  <c r="D7" i="6"/>
  <c r="O11" i="6" l="1"/>
  <c r="I11" i="6"/>
  <c r="J11" i="6"/>
  <c r="K11" i="6"/>
  <c r="L11" i="6"/>
  <c r="M11" i="6"/>
  <c r="N11" i="6"/>
  <c r="H11" i="6"/>
  <c r="M9" i="6"/>
  <c r="I9" i="6"/>
  <c r="L9" i="6"/>
  <c r="J9" i="6"/>
  <c r="I30" i="2"/>
  <c r="I28" i="2"/>
  <c r="D41" i="1" l="1"/>
  <c r="C39" i="1"/>
  <c r="C43" i="1" s="1"/>
  <c r="M37" i="1"/>
  <c r="I37" i="1"/>
  <c r="E37" i="1"/>
  <c r="C37" i="1"/>
  <c r="P36" i="1"/>
  <c r="P35" i="1"/>
  <c r="P33" i="1"/>
  <c r="P32" i="1"/>
  <c r="O30" i="1"/>
  <c r="O37" i="1" s="1"/>
  <c r="N30" i="1"/>
  <c r="N37" i="1" s="1"/>
  <c r="M30" i="1"/>
  <c r="L30" i="1"/>
  <c r="L37" i="1" s="1"/>
  <c r="K30" i="1"/>
  <c r="K37" i="1" s="1"/>
  <c r="J30" i="1"/>
  <c r="J37" i="1" s="1"/>
  <c r="I30" i="1"/>
  <c r="H30" i="1"/>
  <c r="H37" i="1" s="1"/>
  <c r="G30" i="1"/>
  <c r="G37" i="1" s="1"/>
  <c r="F30" i="1"/>
  <c r="F37" i="1" s="1"/>
  <c r="E30" i="1"/>
  <c r="D30" i="1"/>
  <c r="D37" i="1" s="1"/>
  <c r="P28" i="1"/>
  <c r="P26" i="1"/>
  <c r="N21" i="1"/>
  <c r="J21" i="1"/>
  <c r="F21" i="1"/>
  <c r="C21" i="1"/>
  <c r="P20" i="1"/>
  <c r="P18" i="1"/>
  <c r="P17" i="1"/>
  <c r="P15" i="1"/>
  <c r="P13" i="1"/>
  <c r="P11" i="1"/>
  <c r="M9" i="1"/>
  <c r="L9" i="1"/>
  <c r="I9" i="1"/>
  <c r="F9" i="1"/>
  <c r="E9" i="1"/>
  <c r="P9" i="1" s="1"/>
  <c r="O7" i="1"/>
  <c r="O21" i="1" s="1"/>
  <c r="O39" i="1" s="1"/>
  <c r="N7" i="1"/>
  <c r="M7" i="1"/>
  <c r="M21" i="1" s="1"/>
  <c r="M39" i="1" s="1"/>
  <c r="L7" i="1"/>
  <c r="L21" i="1" s="1"/>
  <c r="L39" i="1" s="1"/>
  <c r="K7" i="1"/>
  <c r="K21" i="1" s="1"/>
  <c r="K39" i="1" s="1"/>
  <c r="J7" i="1"/>
  <c r="I7" i="1"/>
  <c r="I21" i="1" s="1"/>
  <c r="I39" i="1" s="1"/>
  <c r="H7" i="1"/>
  <c r="H21" i="1" s="1"/>
  <c r="H39" i="1" s="1"/>
  <c r="G7" i="1"/>
  <c r="G21" i="1" s="1"/>
  <c r="G39" i="1" s="1"/>
  <c r="F7" i="1"/>
  <c r="E7" i="1"/>
  <c r="E21" i="1" s="1"/>
  <c r="E39" i="1" s="1"/>
  <c r="D7" i="1"/>
  <c r="D21" i="1" s="1"/>
  <c r="H31" i="7"/>
  <c r="P21" i="1" l="1"/>
  <c r="D39" i="1"/>
  <c r="F39" i="1"/>
  <c r="P37" i="1"/>
  <c r="J39" i="1"/>
  <c r="N39" i="1"/>
  <c r="D43" i="1"/>
  <c r="P7" i="1"/>
  <c r="P30" i="1"/>
  <c r="E41" i="1"/>
  <c r="H39" i="7"/>
  <c r="H21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E43" i="1" l="1"/>
  <c r="F41" i="1"/>
  <c r="P39" i="1"/>
  <c r="K15" i="2"/>
  <c r="I15" i="2"/>
  <c r="F43" i="1" l="1"/>
  <c r="G41" i="1"/>
  <c r="G13" i="2"/>
  <c r="G11" i="2"/>
  <c r="G9" i="2"/>
  <c r="G7" i="2"/>
  <c r="G43" i="1" l="1"/>
  <c r="H41" i="1"/>
  <c r="H43" i="1" l="1"/>
  <c r="I41" i="1"/>
  <c r="E15" i="2"/>
  <c r="E30" i="2"/>
  <c r="E26" i="2"/>
  <c r="H40" i="5"/>
  <c r="H27" i="5"/>
  <c r="I43" i="1" l="1"/>
  <c r="J41" i="1"/>
  <c r="H21" i="5"/>
  <c r="H14" i="5"/>
  <c r="J43" i="1" l="1"/>
  <c r="K41" i="1"/>
  <c r="F7" i="2"/>
  <c r="F9" i="2"/>
  <c r="F11" i="2"/>
  <c r="K43" i="1" l="1"/>
  <c r="L41" i="1"/>
  <c r="E37" i="6"/>
  <c r="L43" i="1" l="1"/>
  <c r="M41" i="1"/>
  <c r="F21" i="6"/>
  <c r="M43" i="1" l="1"/>
  <c r="N41" i="1"/>
  <c r="D37" i="6"/>
  <c r="F37" i="6"/>
  <c r="N43" i="1" l="1"/>
  <c r="O41" i="1"/>
  <c r="O43" i="1" s="1"/>
  <c r="P43" i="1" s="1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Y39" i="2" s="1"/>
  <c r="W21" i="2"/>
  <c r="W39" i="2" s="1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7" i="2" l="1"/>
  <c r="J39" i="2" s="1"/>
  <c r="P37" i="6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<sst xmlns="http://schemas.openxmlformats.org/spreadsheetml/2006/main" count="301" uniqueCount="124">
  <si>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</si>
  <si>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</si>
  <si>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</si>
  <si>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</si>
  <si>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</si>
  <si>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</si>
  <si>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</si>
  <si>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</si>
  <si>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</si>
  <si>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</si>
  <si>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</si>
  <si>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</si>
  <si>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</si>
  <si>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</si>
  <si>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</si>
  <si>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</si>
  <si>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</si>
  <si>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</si>
  <si>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</si>
  <si>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</si>
  <si>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</si>
  <si>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</si>
  <si>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</si>
  <si>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</si>
  <si>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</si>
  <si>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</si>
  <si>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</si>
  <si>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</si>
  <si>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</si>
  <si>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</si>
  <si>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</si>
  <si>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</si>
  <si>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</si>
  <si>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</si>
  <si>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</si>
  <si>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</si>
  <si>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</si>
  <si>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</si>
  <si>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</si>
  <si>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</si>
  <si>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</si>
  <si>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</si>
  <si>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</si>
  <si>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</si>
  <si>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</si>
  <si>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</si>
  <si>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</si>
  <si>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</si>
  <si>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</si>
  <si>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</si>
  <si>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</si>
  <si>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</si>
  <si>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</si>
  <si>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</si>
  <si>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</si>
  <si>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</si>
  <si>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</si>
  <si>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</si>
  <si>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</si>
  <si>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</si>
  <si>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</si>
  <si>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</si>
  <si>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</si>
  <si>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</si>
  <si>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</si>
  <si>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</si>
  <si>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</si>
  <si>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</si>
  <si>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</si>
  <si>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</si>
  <si>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</si>
  <si>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</si>
  <si>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</si>
  <si>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</si>
  <si>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</si>
  <si>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</si>
  <si>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</si>
  <si>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</si>
  <si>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</si>
  <si>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</si>
  <si>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</si>
  <si>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</si>
  <si>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</si>
  <si>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</si>
  <si>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</si>
  <si>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</si>
  <si>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</si>
  <si>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</si>
  <si>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</si>
  <si>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</si>
  <si>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</si>
  <si>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</si>
  <si>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</si>
  <si>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</si>
  <si>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</si>
  <si>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</si>
  <si>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</si>
  <si>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</si>
  <si>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</si>
  <si>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</si>
  <si>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</si>
  <si>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</si>
  <si>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</si>
  <si>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Table 3: Budget Appendix A Exclusions from Other expenditure </t>
  </si>
  <si>
    <t>58,292 Nov and 24,288 April</t>
  </si>
  <si>
    <t>151,614 Nov and 108,295 April</t>
  </si>
  <si>
    <t>103225 x12</t>
  </si>
  <si>
    <t>53,609 Nov and 40,197 April</t>
  </si>
  <si>
    <t>151,496 Nov and 113,584 April</t>
  </si>
  <si>
    <t>Table 3: Exclusions from Other Expenditure</t>
  </si>
  <si>
    <t xml:space="preserve">Table 4: Distribution of Other Expenditure </t>
  </si>
  <si>
    <t>Remains in bank</t>
  </si>
  <si>
    <t>CIF</t>
  </si>
  <si>
    <t>Y/E Employee accrurals</t>
  </si>
  <si>
    <t>Y/E Creditors</t>
  </si>
  <si>
    <t xml:space="preserve">Oct 31645 Feb 23,509 Mar 20,000 June 39,182 </t>
  </si>
  <si>
    <t>Cashflow Forecast 2019-20 - January re-forecast</t>
  </si>
  <si>
    <t xml:space="preserve">Revised all income and expenditure against budget plus virements using Jan 5 year forecast as a reference. </t>
  </si>
  <si>
    <t>Included expected £20k SEN grant not currently on virements</t>
  </si>
  <si>
    <t>Updtaed staffing costs from Jan calculators</t>
  </si>
  <si>
    <t>Revised breakdowns as per tables 1-4</t>
  </si>
  <si>
    <t>from Jan Calcs + £20k Supply</t>
  </si>
  <si>
    <t>89,901 x12</t>
  </si>
  <si>
    <t>Feb 10,033 June 14,000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</si>
</sst>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9" xfId="0" applyFont="1" applyBorder="1"/>
    <xf numFmtId="0" fontId="2" fillId="0" borderId="38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1" workbookViewId="0">
      <selection activeCell="I26" sqref="I2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116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6704219</v>
      </c>
      <c r="D7" s="88">
        <f>389579+119321+11673</f>
        <v>520573</v>
      </c>
      <c r="E7" s="88">
        <f>389579+119321+35062</f>
        <v>543962</v>
      </c>
      <c r="F7" s="88">
        <f>389579+119321+53609+151496</f>
        <v>714005</v>
      </c>
      <c r="G7" s="88">
        <f t="shared" ref="G7:M7" si="0">389579+119321</f>
        <v>508900</v>
      </c>
      <c r="H7" s="88">
        <f>389579+119321+35062</f>
        <v>543962</v>
      </c>
      <c r="I7" s="88">
        <f t="shared" si="0"/>
        <v>508900</v>
      </c>
      <c r="J7" s="88">
        <f>389579+119321+20588</f>
        <v>529488</v>
      </c>
      <c r="K7" s="88">
        <f>389579+119321+35062+40197+113584+5835</f>
        <v>703578</v>
      </c>
      <c r="L7" s="88">
        <f>389579+119321+34442</f>
        <v>543342</v>
      </c>
      <c r="M7" s="88">
        <f t="shared" si="0"/>
        <v>508900</v>
      </c>
      <c r="N7" s="88">
        <f>389579+119321+35062+25741</f>
        <v>569703</v>
      </c>
      <c r="O7" s="88">
        <f>389579+119321+6</f>
        <v>508906</v>
      </c>
      <c r="P7" s="98">
        <f>SUM(D7:O7)</f>
        <v>6704219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212407</v>
      </c>
      <c r="D9" s="88">
        <v>500</v>
      </c>
      <c r="E9" s="89">
        <v>37213</v>
      </c>
      <c r="F9" s="89"/>
      <c r="G9" s="89"/>
      <c r="H9" s="89"/>
      <c r="I9" s="89">
        <f>23509+10033</f>
        <v>33542</v>
      </c>
      <c r="J9" s="89">
        <f>20000</f>
        <v>20000</v>
      </c>
      <c r="K9" s="89"/>
      <c r="L9" s="89">
        <f>67970</f>
        <v>67970</v>
      </c>
      <c r="M9" s="89">
        <f>39182+10033+3967</f>
        <v>53182</v>
      </c>
      <c r="N9" s="89"/>
      <c r="O9" s="90"/>
      <c r="P9" s="92">
        <f>SUM(D9:O9)</f>
        <v>212407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12896</v>
      </c>
      <c r="E11" s="88">
        <v>19764</v>
      </c>
      <c r="F11" s="88">
        <v>15073</v>
      </c>
      <c r="G11" s="88">
        <v>10735</v>
      </c>
      <c r="H11" s="88">
        <f>12692</f>
        <v>12692</v>
      </c>
      <c r="I11" s="88">
        <f>12692</f>
        <v>12692</v>
      </c>
      <c r="J11" s="88">
        <f>12692</f>
        <v>12692</v>
      </c>
      <c r="K11" s="88">
        <f>12692</f>
        <v>12692</v>
      </c>
      <c r="L11" s="88">
        <f>12692</f>
        <v>12692</v>
      </c>
      <c r="M11" s="88">
        <f>12692</f>
        <v>12692</v>
      </c>
      <c r="N11" s="88">
        <f>12692</f>
        <v>12692</v>
      </c>
      <c r="O11" s="88">
        <f>12688</f>
        <v>12688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44250</v>
      </c>
      <c r="D15" s="88">
        <v>3687.5</v>
      </c>
      <c r="E15" s="88">
        <v>3687.5</v>
      </c>
      <c r="F15" s="88">
        <v>3687.5</v>
      </c>
      <c r="G15" s="88">
        <v>3687.5</v>
      </c>
      <c r="H15" s="88">
        <v>3687.5</v>
      </c>
      <c r="I15" s="88">
        <v>3687.5</v>
      </c>
      <c r="J15" s="88">
        <v>3687.5</v>
      </c>
      <c r="K15" s="88">
        <v>3687.5</v>
      </c>
      <c r="L15" s="88">
        <v>3687.5</v>
      </c>
      <c r="M15" s="88">
        <v>3687.5</v>
      </c>
      <c r="N15" s="88">
        <v>3687.5</v>
      </c>
      <c r="O15" s="88">
        <v>3687.5</v>
      </c>
      <c r="P15" s="92">
        <f>SUM(D15:O15)</f>
        <v>44250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7205297</v>
      </c>
      <c r="D21" s="73">
        <f t="shared" ref="D21:O21" si="1">SUM(D7:D20)</f>
        <v>552108.5</v>
      </c>
      <c r="E21" s="73">
        <f t="shared" si="1"/>
        <v>674595.5</v>
      </c>
      <c r="F21" s="73">
        <f t="shared" si="1"/>
        <v>732765.5</v>
      </c>
      <c r="G21" s="73">
        <f t="shared" si="1"/>
        <v>523322.5</v>
      </c>
      <c r="H21" s="73">
        <f t="shared" si="1"/>
        <v>560341.5</v>
      </c>
      <c r="I21" s="73">
        <f t="shared" si="1"/>
        <v>558821.5</v>
      </c>
      <c r="J21" s="73">
        <f t="shared" si="1"/>
        <v>565867.5</v>
      </c>
      <c r="K21" s="73">
        <f t="shared" si="1"/>
        <v>719957.5</v>
      </c>
      <c r="L21" s="73">
        <f t="shared" si="1"/>
        <v>627691.5</v>
      </c>
      <c r="M21" s="73">
        <f t="shared" si="1"/>
        <v>578461.5</v>
      </c>
      <c r="N21" s="73">
        <f t="shared" si="1"/>
        <v>586082.5</v>
      </c>
      <c r="O21" s="74">
        <f t="shared" si="1"/>
        <v>525281.5</v>
      </c>
      <c r="P21" s="72">
        <f>SUM(D21:O21)</f>
        <v>7205297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6088651</v>
      </c>
      <c r="D26" s="86">
        <v>480810</v>
      </c>
      <c r="E26" s="86">
        <v>502357</v>
      </c>
      <c r="F26" s="86">
        <v>527650</v>
      </c>
      <c r="G26" s="86">
        <v>530822</v>
      </c>
      <c r="H26" s="86">
        <v>505877</v>
      </c>
      <c r="I26" s="86">
        <v>505877</v>
      </c>
      <c r="J26" s="86">
        <v>505877</v>
      </c>
      <c r="K26" s="86">
        <v>505877</v>
      </c>
      <c r="L26" s="86">
        <v>505877</v>
      </c>
      <c r="M26" s="86">
        <v>505877</v>
      </c>
      <c r="N26" s="86">
        <v>505877</v>
      </c>
      <c r="O26" s="86">
        <v>505873</v>
      </c>
      <c r="P26" s="91">
        <f>SUM(D26:O26)</f>
        <v>6088651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1259126</v>
      </c>
      <c r="D30" s="88">
        <v>62727</v>
      </c>
      <c r="E30" s="88">
        <v>120825</v>
      </c>
      <c r="F30" s="88">
        <v>176446</v>
      </c>
      <c r="G30" s="88">
        <v>79651</v>
      </c>
      <c r="H30" s="88">
        <f>89196+75000</f>
        <v>164196</v>
      </c>
      <c r="I30" s="88">
        <f t="shared" ref="I30:L30" si="2">89196</f>
        <v>89196</v>
      </c>
      <c r="J30" s="88">
        <f>89196+10904</f>
        <v>100100</v>
      </c>
      <c r="K30" s="88">
        <f t="shared" si="2"/>
        <v>89196</v>
      </c>
      <c r="L30" s="88">
        <f t="shared" si="2"/>
        <v>89196</v>
      </c>
      <c r="M30" s="88">
        <f>89196+10000</f>
        <v>99196</v>
      </c>
      <c r="N30" s="88">
        <f>89196+10000</f>
        <v>99196</v>
      </c>
      <c r="O30" s="88">
        <f>89201</f>
        <v>89201</v>
      </c>
      <c r="P30" s="91">
        <f>SUM(D30:O30)</f>
        <v>1259126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/>
      <c r="F32" s="89"/>
      <c r="G32" s="89"/>
      <c r="H32" s="89">
        <v>40000</v>
      </c>
      <c r="I32" s="89"/>
      <c r="J32" s="89">
        <v>48478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>
        <v>9250</v>
      </c>
      <c r="G36" s="89"/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7568301</v>
      </c>
      <c r="D37" s="77">
        <f t="shared" ref="D37:O37" si="3">SUM(D26:D36)</f>
        <v>666333</v>
      </c>
      <c r="E37" s="77">
        <f t="shared" si="3"/>
        <v>623182</v>
      </c>
      <c r="F37" s="77">
        <f t="shared" si="3"/>
        <v>713346</v>
      </c>
      <c r="G37" s="77">
        <f t="shared" si="3"/>
        <v>610473</v>
      </c>
      <c r="H37" s="77">
        <f t="shared" si="3"/>
        <v>710073</v>
      </c>
      <c r="I37" s="77">
        <f t="shared" si="3"/>
        <v>595073</v>
      </c>
      <c r="J37" s="77">
        <f t="shared" si="3"/>
        <v>654455</v>
      </c>
      <c r="K37" s="77">
        <f t="shared" si="3"/>
        <v>595073</v>
      </c>
      <c r="L37" s="77">
        <f t="shared" si="3"/>
        <v>595073</v>
      </c>
      <c r="M37" s="77">
        <f t="shared" si="3"/>
        <v>605073</v>
      </c>
      <c r="N37" s="77">
        <f t="shared" si="3"/>
        <v>605073</v>
      </c>
      <c r="O37" s="78">
        <f t="shared" si="3"/>
        <v>595074</v>
      </c>
      <c r="P37" s="76">
        <f>SUM(D37:O37)</f>
        <v>7568301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-363004</v>
      </c>
      <c r="D39" s="76">
        <f t="shared" ref="D39:P39" si="4">D21-D37</f>
        <v>-114224.5</v>
      </c>
      <c r="E39" s="76">
        <f t="shared" si="4"/>
        <v>51413.5</v>
      </c>
      <c r="F39" s="76">
        <f t="shared" si="4"/>
        <v>19419.5</v>
      </c>
      <c r="G39" s="76">
        <f t="shared" si="4"/>
        <v>-87150.5</v>
      </c>
      <c r="H39" s="76">
        <f t="shared" si="4"/>
        <v>-149731.5</v>
      </c>
      <c r="I39" s="76">
        <f t="shared" si="4"/>
        <v>-36251.5</v>
      </c>
      <c r="J39" s="76">
        <f t="shared" si="4"/>
        <v>-88587.5</v>
      </c>
      <c r="K39" s="76">
        <f t="shared" si="4"/>
        <v>124884.5</v>
      </c>
      <c r="L39" s="76">
        <f t="shared" si="4"/>
        <v>32618.5</v>
      </c>
      <c r="M39" s="76">
        <f t="shared" si="4"/>
        <v>-26611.5</v>
      </c>
      <c r="N39" s="76">
        <f t="shared" si="4"/>
        <v>-18990.5</v>
      </c>
      <c r="O39" s="76">
        <f t="shared" si="4"/>
        <v>-69792.5</v>
      </c>
      <c r="P39" s="76">
        <f t="shared" si="4"/>
        <v>-363004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685979.5</v>
      </c>
      <c r="F41" s="84">
        <f t="shared" ref="F41:O41" si="5">E41+E39</f>
        <v>737393</v>
      </c>
      <c r="G41" s="84">
        <f t="shared" si="5"/>
        <v>756812.5</v>
      </c>
      <c r="H41" s="84">
        <f t="shared" si="5"/>
        <v>669662</v>
      </c>
      <c r="I41" s="84">
        <f t="shared" si="5"/>
        <v>519930.5</v>
      </c>
      <c r="J41" s="84">
        <f t="shared" si="5"/>
        <v>483679</v>
      </c>
      <c r="K41" s="84">
        <f t="shared" si="5"/>
        <v>395091.5</v>
      </c>
      <c r="L41" s="84">
        <f t="shared" si="5"/>
        <v>519976</v>
      </c>
      <c r="M41" s="84">
        <f t="shared" si="5"/>
        <v>552594.5</v>
      </c>
      <c r="N41" s="84">
        <f t="shared" si="5"/>
        <v>525983</v>
      </c>
      <c r="O41" s="84">
        <f t="shared" si="5"/>
        <v>506992.5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437200</v>
      </c>
      <c r="D43" s="76">
        <f t="shared" ref="D43:O43" si="6">D41+D39</f>
        <v>685979.5</v>
      </c>
      <c r="E43" s="76">
        <f t="shared" si="6"/>
        <v>737393</v>
      </c>
      <c r="F43" s="76">
        <f t="shared" si="6"/>
        <v>756812.5</v>
      </c>
      <c r="G43" s="76">
        <f t="shared" si="6"/>
        <v>669662</v>
      </c>
      <c r="H43" s="76">
        <f t="shared" si="6"/>
        <v>519930.5</v>
      </c>
      <c r="I43" s="76">
        <f t="shared" si="6"/>
        <v>483679</v>
      </c>
      <c r="J43" s="76">
        <f t="shared" si="6"/>
        <v>395091.5</v>
      </c>
      <c r="K43" s="76">
        <f t="shared" si="6"/>
        <v>519976</v>
      </c>
      <c r="L43" s="76">
        <f t="shared" si="6"/>
        <v>552594.5</v>
      </c>
      <c r="M43" s="76">
        <f t="shared" si="6"/>
        <v>525983</v>
      </c>
      <c r="N43" s="76">
        <f t="shared" si="6"/>
        <v>506992.5</v>
      </c>
      <c r="O43" s="76">
        <f t="shared" si="6"/>
        <v>437200</v>
      </c>
      <c r="P43" s="76">
        <f>O43</f>
        <v>437200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B2:C2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X4" activePane="bottomRight" state="frozen"/>
      <selection pane="topRight" activeCell="C1" sqref="C1"/>
      <selection pane="bottomLeft" activeCell="A4" sqref="A4"/>
      <selection pane="bottomRight" activeCell="Y31" sqref="Y31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60" t="s">
        <v>88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2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6" t="s">
        <v>60</v>
      </c>
      <c r="C7" s="57">
        <f>'Forecast - Current'!C7</f>
        <v>6704219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>
        <f>545163</f>
        <v>545163</v>
      </c>
      <c r="H7" s="123">
        <f>'Forecast - Current'!F7</f>
        <v>714005</v>
      </c>
      <c r="I7" s="100">
        <v>714036</v>
      </c>
      <c r="J7" s="123">
        <f>'Forecast - Current'!G7</f>
        <v>508900</v>
      </c>
      <c r="K7" s="100">
        <v>508950</v>
      </c>
      <c r="L7" s="123">
        <f>'Forecast - Current'!H7</f>
        <v>543962</v>
      </c>
      <c r="M7" s="100">
        <f>545162</f>
        <v>545162</v>
      </c>
      <c r="N7" s="123">
        <f>'Forecast - Current'!I7</f>
        <v>508900</v>
      </c>
      <c r="O7" s="100">
        <v>508950</v>
      </c>
      <c r="P7" s="123">
        <f>'Forecast - Current'!J7</f>
        <v>529488</v>
      </c>
      <c r="Q7" s="100">
        <v>522426</v>
      </c>
      <c r="R7" s="123">
        <f>'Forecast - Current'!K7</f>
        <v>703578</v>
      </c>
      <c r="S7" s="100">
        <v>514786</v>
      </c>
      <c r="T7" s="123">
        <f>'Forecast - Current'!L7</f>
        <v>543342</v>
      </c>
      <c r="U7" s="100">
        <v>665446</v>
      </c>
      <c r="V7" s="123">
        <f>'Forecast - Current'!M7</f>
        <v>508900</v>
      </c>
      <c r="W7" s="100">
        <v>508950</v>
      </c>
      <c r="X7" s="123">
        <f>'Forecast - Current'!N7</f>
        <v>569703</v>
      </c>
      <c r="Y7" s="100">
        <v>579940</v>
      </c>
      <c r="Z7" s="123">
        <f>'Forecast - Current'!O7</f>
        <v>508906</v>
      </c>
      <c r="AA7" s="101"/>
      <c r="AB7" s="117">
        <f>E7+G7+I7+K7+M7+O7+Q7+S7+U7+W7+Y7+AA7</f>
        <v>6157044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212407</v>
      </c>
      <c r="D9" s="121">
        <f>'Forecast - Current'!D9</f>
        <v>500</v>
      </c>
      <c r="E9" s="102">
        <v>500</v>
      </c>
      <c r="F9" s="124">
        <f>'Forecast - Current'!E9</f>
        <v>37213</v>
      </c>
      <c r="G9" s="102">
        <f>37213</f>
        <v>37213</v>
      </c>
      <c r="H9" s="124">
        <f>'Forecast - Current'!F9</f>
        <v>0</v>
      </c>
      <c r="I9" s="102">
        <v>0</v>
      </c>
      <c r="J9" s="124">
        <f>'Forecast - Current'!G9</f>
        <v>0</v>
      </c>
      <c r="K9" s="102">
        <v>0</v>
      </c>
      <c r="L9" s="124">
        <f>'Forecast - Current'!H9</f>
        <v>0</v>
      </c>
      <c r="M9" s="102">
        <v>0</v>
      </c>
      <c r="N9" s="124">
        <f>'Forecast - Current'!I9</f>
        <v>33542</v>
      </c>
      <c r="O9" s="102">
        <v>33542</v>
      </c>
      <c r="P9" s="124">
        <f>'Forecast - Current'!J9</f>
        <v>20000</v>
      </c>
      <c r="Q9" s="102">
        <v>20000</v>
      </c>
      <c r="R9" s="124">
        <f>'Forecast - Current'!K9</f>
        <v>0</v>
      </c>
      <c r="S9" s="102"/>
      <c r="T9" s="124">
        <f>'Forecast - Current'!L9</f>
        <v>67970</v>
      </c>
      <c r="U9" s="102">
        <v>0</v>
      </c>
      <c r="V9" s="124">
        <f>'Forecast - Current'!M9</f>
        <v>53182</v>
      </c>
      <c r="W9" s="102">
        <v>52163</v>
      </c>
      <c r="X9" s="124">
        <f>'Forecast - Current'!N9</f>
        <v>0</v>
      </c>
      <c r="Y9" s="102">
        <v>0</v>
      </c>
      <c r="Z9" s="124">
        <f>'Forecast - Current'!O9</f>
        <v>0</v>
      </c>
      <c r="AA9" s="103"/>
      <c r="AB9" s="118">
        <f t="shared" ref="AB9:AB21" si="0">E9+G9+I9+K9+M9+O9+Q9+S9+U9+W9+Y9+AA9</f>
        <v>143418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12896</v>
      </c>
      <c r="E11" s="102">
        <v>12896</v>
      </c>
      <c r="F11" s="124">
        <f>'Forecast - Current'!E11</f>
        <v>19764</v>
      </c>
      <c r="G11" s="102">
        <f>19764</f>
        <v>19764</v>
      </c>
      <c r="H11" s="124">
        <f>'Forecast - Current'!F11</f>
        <v>15073</v>
      </c>
      <c r="I11" s="102">
        <v>15073</v>
      </c>
      <c r="J11" s="124">
        <f>'Forecast - Current'!G11</f>
        <v>10735</v>
      </c>
      <c r="K11" s="102">
        <v>10735</v>
      </c>
      <c r="L11" s="124">
        <f>'Forecast - Current'!H11</f>
        <v>12692</v>
      </c>
      <c r="M11" s="102">
        <f>14942</f>
        <v>14942</v>
      </c>
      <c r="N11" s="124">
        <f>'Forecast - Current'!I11</f>
        <v>12692</v>
      </c>
      <c r="O11" s="102">
        <v>15653</v>
      </c>
      <c r="P11" s="124">
        <f>'Forecast - Current'!J11</f>
        <v>12692</v>
      </c>
      <c r="Q11" s="102">
        <v>15524</v>
      </c>
      <c r="R11" s="124">
        <f>'Forecast - Current'!K11</f>
        <v>12692</v>
      </c>
      <c r="S11" s="102">
        <v>200</v>
      </c>
      <c r="T11" s="124">
        <f>'Forecast - Current'!L11</f>
        <v>12692</v>
      </c>
      <c r="U11" s="102">
        <v>0</v>
      </c>
      <c r="V11" s="124">
        <f>'Forecast - Current'!M11</f>
        <v>12692</v>
      </c>
      <c r="W11" s="102">
        <v>0</v>
      </c>
      <c r="X11" s="124">
        <f>'Forecast - Current'!N11</f>
        <v>12692</v>
      </c>
      <c r="Y11" s="102">
        <v>1024</v>
      </c>
      <c r="Z11" s="124">
        <f>'Forecast - Current'!O11</f>
        <v>12688</v>
      </c>
      <c r="AA11" s="103"/>
      <c r="AB11" s="118">
        <f t="shared" si="0"/>
        <v>105811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>
        <f>53264</f>
        <v>53264</v>
      </c>
      <c r="H13" s="124">
        <f>'Forecast - Current'!F13</f>
        <v>0</v>
      </c>
      <c r="I13" s="102">
        <v>40199</v>
      </c>
      <c r="J13" s="124">
        <f>'Forecast - Current'!G13</f>
        <v>0</v>
      </c>
      <c r="K13" s="102">
        <v>40638</v>
      </c>
      <c r="L13" s="124">
        <f>'Forecast - Current'!H13</f>
        <v>0</v>
      </c>
      <c r="M13" s="102">
        <f>18247</f>
        <v>18247</v>
      </c>
      <c r="N13" s="124">
        <f>'Forecast - Current'!I13</f>
        <v>0</v>
      </c>
      <c r="O13" s="102">
        <v>23186</v>
      </c>
      <c r="P13" s="124">
        <f>'Forecast - Current'!J13</f>
        <v>0</v>
      </c>
      <c r="Q13" s="102">
        <v>40266</v>
      </c>
      <c r="R13" s="124">
        <f>'Forecast - Current'!K13</f>
        <v>0</v>
      </c>
      <c r="S13" s="102">
        <v>8699</v>
      </c>
      <c r="T13" s="124">
        <f>'Forecast - Current'!L13</f>
        <v>0</v>
      </c>
      <c r="U13" s="102">
        <v>13997</v>
      </c>
      <c r="V13" s="124">
        <f>'Forecast - Current'!M13</f>
        <v>0</v>
      </c>
      <c r="W13" s="102">
        <v>17238</v>
      </c>
      <c r="X13" s="124">
        <f>'Forecast - Current'!N13</f>
        <v>0</v>
      </c>
      <c r="Y13" s="102">
        <v>31730</v>
      </c>
      <c r="Z13" s="124">
        <f>'Forecast - Current'!O13</f>
        <v>0</v>
      </c>
      <c r="AA13" s="103"/>
      <c r="AB13" s="118">
        <f t="shared" si="0"/>
        <v>331971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44250</v>
      </c>
      <c r="D15" s="121">
        <f>'Forecast - Current'!D15</f>
        <v>3687.5</v>
      </c>
      <c r="E15" s="102">
        <f>37628+616+2-14452</f>
        <v>23794</v>
      </c>
      <c r="F15" s="124">
        <f>'Forecast - Current'!E15</f>
        <v>3687.5</v>
      </c>
      <c r="G15" s="102">
        <v>29744</v>
      </c>
      <c r="H15" s="124">
        <f>'Forecast - Current'!F15</f>
        <v>3687.5</v>
      </c>
      <c r="I15" s="102">
        <f>14110+644</f>
        <v>14754</v>
      </c>
      <c r="J15" s="124">
        <f>'Forecast - Current'!G15</f>
        <v>3687.5</v>
      </c>
      <c r="K15" s="102">
        <f>17727+648</f>
        <v>18375</v>
      </c>
      <c r="L15" s="124">
        <f>'Forecast - Current'!H15</f>
        <v>3687.5</v>
      </c>
      <c r="M15" s="102">
        <f>26616+639</f>
        <v>27255</v>
      </c>
      <c r="N15" s="124">
        <f>'Forecast - Current'!I15</f>
        <v>3687.5</v>
      </c>
      <c r="O15" s="102">
        <v>39508</v>
      </c>
      <c r="P15" s="124">
        <f>'Forecast - Current'!J15</f>
        <v>3687.5</v>
      </c>
      <c r="Q15" s="102">
        <v>34181</v>
      </c>
      <c r="R15" s="124">
        <f>'Forecast - Current'!K15</f>
        <v>3687.5</v>
      </c>
      <c r="S15" s="102">
        <v>39436</v>
      </c>
      <c r="T15" s="124">
        <f>'Forecast - Current'!L15</f>
        <v>3687.5</v>
      </c>
      <c r="U15" s="102">
        <v>112715</v>
      </c>
      <c r="V15" s="124">
        <f>'Forecast - Current'!M15</f>
        <v>3687.5</v>
      </c>
      <c r="W15" s="102">
        <v>574</v>
      </c>
      <c r="X15" s="124">
        <f>'Forecast - Current'!N15</f>
        <v>3687.5</v>
      </c>
      <c r="Y15" s="102">
        <v>14930</v>
      </c>
      <c r="Z15" s="124">
        <f>'Forecast - Current'!O15</f>
        <v>3687.5</v>
      </c>
      <c r="AA15" s="103"/>
      <c r="AB15" s="118">
        <f t="shared" si="0"/>
        <v>355266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86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>
        <v>0</v>
      </c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/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>
        <v>0</v>
      </c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/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>
        <v>0</v>
      </c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/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7205297</v>
      </c>
      <c r="D21" s="112">
        <f>'Forecast - Current'!D21</f>
        <v>552108.5</v>
      </c>
      <c r="E21" s="113">
        <f>SUM(E7:E20)</f>
        <v>639384</v>
      </c>
      <c r="F21" s="114">
        <f>'Forecast - Current'!E21</f>
        <v>674595.5</v>
      </c>
      <c r="G21" s="113">
        <f>SUM(G7:G20)</f>
        <v>685148</v>
      </c>
      <c r="H21" s="114">
        <f>'Forecast - Current'!F21</f>
        <v>732765.5</v>
      </c>
      <c r="I21" s="113">
        <f>SUM(I7:I20)</f>
        <v>784062</v>
      </c>
      <c r="J21" s="114">
        <f>'Forecast - Current'!G21</f>
        <v>523322.5</v>
      </c>
      <c r="K21" s="113">
        <f>SUM(K7:K20)</f>
        <v>578698</v>
      </c>
      <c r="L21" s="114">
        <f>'Forecast - Current'!H21</f>
        <v>560341.5</v>
      </c>
      <c r="M21" s="113">
        <f>SUM(M7:M20)</f>
        <v>605606</v>
      </c>
      <c r="N21" s="114">
        <f>'Forecast - Current'!I21</f>
        <v>558821.5</v>
      </c>
      <c r="O21" s="113">
        <f>SUM(O7:O20)</f>
        <v>620839</v>
      </c>
      <c r="P21" s="114">
        <f>'Forecast - Current'!J21</f>
        <v>565867.5</v>
      </c>
      <c r="Q21" s="113">
        <f>SUM(Q7:Q20)</f>
        <v>632397</v>
      </c>
      <c r="R21" s="114">
        <f>'Forecast - Current'!K21</f>
        <v>719957.5</v>
      </c>
      <c r="S21" s="113">
        <f>SUM(S7:S20)</f>
        <v>563121</v>
      </c>
      <c r="T21" s="114">
        <f>'Forecast - Current'!L21</f>
        <v>627691.5</v>
      </c>
      <c r="U21" s="113">
        <f>SUM(U7:U20)</f>
        <v>792158</v>
      </c>
      <c r="V21" s="114">
        <f>'Forecast - Current'!M21</f>
        <v>578461.5</v>
      </c>
      <c r="W21" s="113">
        <f>SUM(W7:W20)</f>
        <v>578925</v>
      </c>
      <c r="X21" s="114">
        <f>'Forecast - Current'!N21</f>
        <v>586082.5</v>
      </c>
      <c r="Y21" s="113">
        <f>SUM(Y7:Y20)</f>
        <v>627624</v>
      </c>
      <c r="Z21" s="114">
        <f>'Forecast - Current'!O21</f>
        <v>525281.5</v>
      </c>
      <c r="AA21" s="115">
        <f>SUM(AA7:AA20)</f>
        <v>0</v>
      </c>
      <c r="AB21" s="116">
        <f t="shared" si="0"/>
        <v>7107962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206"/>
      <c r="D24" s="208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4"/>
      <c r="C25" s="207"/>
      <c r="D25" s="209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5" t="s">
        <v>22</v>
      </c>
      <c r="C26" s="67">
        <f>'Forecast - Current'!C26</f>
        <v>6088651</v>
      </c>
      <c r="D26" s="46">
        <f>'Forecast - Current'!D26</f>
        <v>480810</v>
      </c>
      <c r="E26" s="100">
        <f>492951-12141</f>
        <v>480810</v>
      </c>
      <c r="F26" s="123">
        <f>'Forecast - Current'!E26</f>
        <v>502357</v>
      </c>
      <c r="G26" s="100">
        <v>502357</v>
      </c>
      <c r="H26" s="123">
        <f>'Forecast - Current'!F26</f>
        <v>527650</v>
      </c>
      <c r="I26" s="100">
        <v>527650</v>
      </c>
      <c r="J26" s="123">
        <f>'Forecast - Current'!G26</f>
        <v>530822</v>
      </c>
      <c r="K26" s="100">
        <v>530822</v>
      </c>
      <c r="L26" s="123">
        <f>'Forecast - Current'!H26</f>
        <v>505877</v>
      </c>
      <c r="M26" s="100">
        <f>512697+4770</f>
        <v>517467</v>
      </c>
      <c r="N26" s="123">
        <f>'Forecast - Current'!I26</f>
        <v>505877</v>
      </c>
      <c r="O26" s="100">
        <v>512979</v>
      </c>
      <c r="P26" s="123">
        <f>'Forecast - Current'!J26</f>
        <v>505877</v>
      </c>
      <c r="Q26" s="100">
        <v>503964</v>
      </c>
      <c r="R26" s="123">
        <f>'Forecast - Current'!K26</f>
        <v>505877</v>
      </c>
      <c r="S26" s="100">
        <v>502153</v>
      </c>
      <c r="T26" s="123">
        <f>'Forecast - Current'!L26</f>
        <v>505877</v>
      </c>
      <c r="U26" s="100">
        <v>513735</v>
      </c>
      <c r="V26" s="123">
        <f>'Forecast - Current'!M26</f>
        <v>505877</v>
      </c>
      <c r="W26" s="100">
        <v>505567</v>
      </c>
      <c r="X26" s="123">
        <f>'Forecast - Current'!N26</f>
        <v>505877</v>
      </c>
      <c r="Y26" s="100">
        <v>510155</v>
      </c>
      <c r="Z26" s="123">
        <f>'Forecast - Current'!O26</f>
        <v>505873</v>
      </c>
      <c r="AA26" s="101"/>
      <c r="AB26" s="64">
        <f>E26+G26+I26+K26+M26+O26+Q26+S26+U26+W26+Y26+AA26</f>
        <v>5607659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>
        <v>5539</v>
      </c>
      <c r="H28" s="123">
        <f>'Forecast - Current'!F28</f>
        <v>0</v>
      </c>
      <c r="I28" s="102">
        <f>95069+18539</f>
        <v>113608</v>
      </c>
      <c r="J28" s="123">
        <f>'Forecast - Current'!G28</f>
        <v>0</v>
      </c>
      <c r="K28" s="102">
        <v>15370</v>
      </c>
      <c r="L28" s="123">
        <f>'Forecast - Current'!H28</f>
        <v>0</v>
      </c>
      <c r="M28" s="102">
        <f>1289</f>
        <v>1289</v>
      </c>
      <c r="N28" s="123">
        <f>'Forecast - Current'!I28</f>
        <v>0</v>
      </c>
      <c r="O28" s="102">
        <v>20126</v>
      </c>
      <c r="P28" s="123">
        <f>'Forecast - Current'!J28</f>
        <v>0</v>
      </c>
      <c r="Q28" s="102">
        <v>50235</v>
      </c>
      <c r="R28" s="123">
        <f>'Forecast - Current'!K28</f>
        <v>0</v>
      </c>
      <c r="S28" s="102"/>
      <c r="T28" s="123">
        <f>'Forecast - Current'!L28</f>
        <v>0</v>
      </c>
      <c r="U28" s="102">
        <v>14012</v>
      </c>
      <c r="V28" s="123">
        <f>'Forecast - Current'!M28</f>
        <v>0</v>
      </c>
      <c r="W28" s="102">
        <v>8040</v>
      </c>
      <c r="X28" s="123">
        <f>'Forecast - Current'!N28</f>
        <v>0</v>
      </c>
      <c r="Y28" s="102">
        <v>51040</v>
      </c>
      <c r="Z28" s="123">
        <f>'Forecast - Current'!O28</f>
        <v>0</v>
      </c>
      <c r="AA28" s="103"/>
      <c r="AB28" s="64">
        <f t="shared" ref="AB28:AB37" si="1">E28+G28+I28+K28+M28+O28+Q28+S28+U28+W28+Y28+AA28</f>
        <v>300361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1259126</v>
      </c>
      <c r="D30" s="46">
        <f>'Forecast - Current'!D30</f>
        <v>62727</v>
      </c>
      <c r="E30" s="102">
        <f>173382-110655</f>
        <v>62727</v>
      </c>
      <c r="F30" s="123">
        <f>'Forecast - Current'!E30</f>
        <v>120825</v>
      </c>
      <c r="G30" s="102">
        <v>120825</v>
      </c>
      <c r="H30" s="123">
        <f>'Forecast - Current'!F30</f>
        <v>176446</v>
      </c>
      <c r="I30" s="102">
        <f>184696-9250+1000</f>
        <v>176446</v>
      </c>
      <c r="J30" s="123">
        <f>'Forecast - Current'!G30</f>
        <v>79651</v>
      </c>
      <c r="K30" s="102">
        <v>79651</v>
      </c>
      <c r="L30" s="123">
        <f>'Forecast - Current'!H30</f>
        <v>164196</v>
      </c>
      <c r="M30" s="102">
        <f>156710</f>
        <v>156710</v>
      </c>
      <c r="N30" s="123">
        <f>'Forecast - Current'!I30</f>
        <v>89196</v>
      </c>
      <c r="O30" s="102">
        <v>115768</v>
      </c>
      <c r="P30" s="123">
        <f>'Forecast - Current'!J30</f>
        <v>100100</v>
      </c>
      <c r="Q30" s="102">
        <v>208971</v>
      </c>
      <c r="R30" s="123">
        <f>'Forecast - Current'!K30</f>
        <v>89196</v>
      </c>
      <c r="S30" s="102">
        <v>9611</v>
      </c>
      <c r="T30" s="123">
        <f>'Forecast - Current'!L30</f>
        <v>89196</v>
      </c>
      <c r="U30" s="102">
        <v>113704</v>
      </c>
      <c r="V30" s="123">
        <f>'Forecast - Current'!M30</f>
        <v>99196</v>
      </c>
      <c r="W30" s="102">
        <v>85247</v>
      </c>
      <c r="X30" s="123">
        <f>'Forecast - Current'!N30</f>
        <v>99196</v>
      </c>
      <c r="Y30" s="102">
        <v>113872</v>
      </c>
      <c r="Z30" s="123">
        <f>'Forecast - Current'!O30</f>
        <v>89201</v>
      </c>
      <c r="AA30" s="103"/>
      <c r="AB30" s="64">
        <f t="shared" si="1"/>
        <v>1243532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86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0</v>
      </c>
      <c r="G32" s="102">
        <v>0</v>
      </c>
      <c r="H32" s="123">
        <f>'Forecast - Current'!F32</f>
        <v>0</v>
      </c>
      <c r="I32" s="102"/>
      <c r="J32" s="123">
        <f>'Forecast - Current'!G32</f>
        <v>0</v>
      </c>
      <c r="K32" s="102"/>
      <c r="L32" s="123">
        <f>'Forecast - Current'!H32</f>
        <v>40000</v>
      </c>
      <c r="M32" s="102"/>
      <c r="N32" s="123">
        <f>'Forecast - Current'!I32</f>
        <v>0</v>
      </c>
      <c r="O32" s="102"/>
      <c r="P32" s="123">
        <f>'Forecast - Current'!J32</f>
        <v>48478</v>
      </c>
      <c r="Q32" s="102">
        <v>48478</v>
      </c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/>
      <c r="AB32" s="64">
        <f t="shared" si="1"/>
        <v>48478</v>
      </c>
      <c r="AC32" s="1"/>
    </row>
    <row r="33" spans="1:29" x14ac:dyDescent="0.2">
      <c r="A33" s="1"/>
      <c r="B33" s="155" t="s">
        <v>89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/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9250</v>
      </c>
      <c r="I36" s="104">
        <v>9250</v>
      </c>
      <c r="J36" s="132">
        <f>'Forecast - Current'!G36</f>
        <v>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/>
      <c r="AB36" s="66">
        <f t="shared" si="1"/>
        <v>119905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7568301</v>
      </c>
      <c r="D37" s="129">
        <f>'Forecast - Current'!D37</f>
        <v>666333</v>
      </c>
      <c r="E37" s="113">
        <f>SUM(E26:E36)</f>
        <v>687435</v>
      </c>
      <c r="F37" s="114">
        <f>'Forecast - Current'!E37</f>
        <v>623182</v>
      </c>
      <c r="G37" s="113">
        <f>SUM(G26:G36)</f>
        <v>628721</v>
      </c>
      <c r="H37" s="114">
        <f>'Forecast - Current'!F37</f>
        <v>713346</v>
      </c>
      <c r="I37" s="113">
        <f>SUM(I26:I36)</f>
        <v>826954</v>
      </c>
      <c r="J37" s="114">
        <f>'Forecast - Current'!G37</f>
        <v>610473</v>
      </c>
      <c r="K37" s="113">
        <f>SUM(K26:K36)</f>
        <v>625843</v>
      </c>
      <c r="L37" s="114">
        <f>'Forecast - Current'!H37</f>
        <v>710073</v>
      </c>
      <c r="M37" s="113">
        <f>SUM(M26:M36)</f>
        <v>675466</v>
      </c>
      <c r="N37" s="114">
        <f>'Forecast - Current'!I37</f>
        <v>595073</v>
      </c>
      <c r="O37" s="113">
        <f>SUM(O26:O36)</f>
        <v>648873</v>
      </c>
      <c r="P37" s="114">
        <f>'Forecast - Current'!J37</f>
        <v>654455</v>
      </c>
      <c r="Q37" s="113">
        <f>SUM(Q26:Q36)</f>
        <v>811648</v>
      </c>
      <c r="R37" s="114">
        <f>'Forecast - Current'!K37</f>
        <v>595073</v>
      </c>
      <c r="S37" s="113">
        <f>SUM(S26:S36)</f>
        <v>511764</v>
      </c>
      <c r="T37" s="114">
        <f>'Forecast - Current'!L37</f>
        <v>595073</v>
      </c>
      <c r="U37" s="113">
        <f>SUM(U26:U36)</f>
        <v>641451</v>
      </c>
      <c r="V37" s="114">
        <f>'Forecast - Current'!M37</f>
        <v>605073</v>
      </c>
      <c r="W37" s="113">
        <f>SUM(W26:W36)</f>
        <v>598854</v>
      </c>
      <c r="X37" s="114">
        <f>'Forecast - Current'!N37</f>
        <v>605073</v>
      </c>
      <c r="Y37" s="113">
        <f>SUM(Y26:Y36)</f>
        <v>675067</v>
      </c>
      <c r="Z37" s="114">
        <f>'Forecast - Current'!O37</f>
        <v>595074</v>
      </c>
      <c r="AA37" s="115">
        <f>SUM(AA26:AA36)</f>
        <v>0</v>
      </c>
      <c r="AB37" s="130">
        <f t="shared" si="1"/>
        <v>7332076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-363004</v>
      </c>
      <c r="D39" s="51">
        <f t="shared" ref="D39:AB39" si="2">D21-D37</f>
        <v>-114224.5</v>
      </c>
      <c r="E39" s="54">
        <f t="shared" si="2"/>
        <v>-48051</v>
      </c>
      <c r="F39" s="51">
        <f t="shared" si="2"/>
        <v>51413.5</v>
      </c>
      <c r="G39" s="54">
        <f t="shared" si="2"/>
        <v>56427</v>
      </c>
      <c r="H39" s="51">
        <f t="shared" si="2"/>
        <v>19419.5</v>
      </c>
      <c r="I39" s="54">
        <f t="shared" si="2"/>
        <v>-42892</v>
      </c>
      <c r="J39" s="51">
        <f t="shared" si="2"/>
        <v>-87150.5</v>
      </c>
      <c r="K39" s="54">
        <f t="shared" si="2"/>
        <v>-47145</v>
      </c>
      <c r="L39" s="51">
        <f t="shared" si="2"/>
        <v>-149731.5</v>
      </c>
      <c r="M39" s="54">
        <f t="shared" si="2"/>
        <v>-69860</v>
      </c>
      <c r="N39" s="51">
        <f t="shared" si="2"/>
        <v>-36251.5</v>
      </c>
      <c r="O39" s="54">
        <f t="shared" si="2"/>
        <v>-28034</v>
      </c>
      <c r="P39" s="51">
        <f t="shared" si="2"/>
        <v>-88587.5</v>
      </c>
      <c r="Q39" s="54">
        <f t="shared" si="2"/>
        <v>-179251</v>
      </c>
      <c r="R39" s="51">
        <f t="shared" si="2"/>
        <v>124884.5</v>
      </c>
      <c r="S39" s="54">
        <f t="shared" si="2"/>
        <v>51357</v>
      </c>
      <c r="T39" s="51">
        <f t="shared" si="2"/>
        <v>32618.5</v>
      </c>
      <c r="U39" s="54">
        <f t="shared" si="2"/>
        <v>150707</v>
      </c>
      <c r="V39" s="51">
        <f t="shared" si="2"/>
        <v>-26611.5</v>
      </c>
      <c r="W39" s="54">
        <f t="shared" si="2"/>
        <v>-19929</v>
      </c>
      <c r="X39" s="51">
        <f t="shared" si="2"/>
        <v>-18990.5</v>
      </c>
      <c r="Y39" s="54">
        <f t="shared" si="2"/>
        <v>-47443</v>
      </c>
      <c r="Z39" s="51">
        <f t="shared" si="2"/>
        <v>-69792.5</v>
      </c>
      <c r="AA39" s="54">
        <f t="shared" si="2"/>
        <v>0</v>
      </c>
      <c r="AB39" s="54">
        <f t="shared" si="2"/>
        <v>-224114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685979.5</v>
      </c>
      <c r="G41" s="56">
        <f>E43</f>
        <v>752153</v>
      </c>
      <c r="H41" s="53">
        <f>F43</f>
        <v>737393</v>
      </c>
      <c r="I41" s="56">
        <f t="shared" ref="I41:AA41" si="3">G43</f>
        <v>808580</v>
      </c>
      <c r="J41" s="53">
        <f t="shared" si="3"/>
        <v>756812.5</v>
      </c>
      <c r="K41" s="56">
        <f t="shared" si="3"/>
        <v>765688</v>
      </c>
      <c r="L41" s="53">
        <f t="shared" si="3"/>
        <v>669662</v>
      </c>
      <c r="M41" s="56">
        <f t="shared" si="3"/>
        <v>718543</v>
      </c>
      <c r="N41" s="53">
        <f t="shared" si="3"/>
        <v>519930.5</v>
      </c>
      <c r="O41" s="56">
        <f t="shared" si="3"/>
        <v>648683</v>
      </c>
      <c r="P41" s="53">
        <f t="shared" si="3"/>
        <v>483679</v>
      </c>
      <c r="Q41" s="56">
        <f t="shared" si="3"/>
        <v>620649</v>
      </c>
      <c r="R41" s="53">
        <f t="shared" si="3"/>
        <v>395091.5</v>
      </c>
      <c r="S41" s="56">
        <f t="shared" si="3"/>
        <v>441398</v>
      </c>
      <c r="T41" s="53">
        <f t="shared" si="3"/>
        <v>519976</v>
      </c>
      <c r="U41" s="56">
        <f t="shared" si="3"/>
        <v>492755</v>
      </c>
      <c r="V41" s="53">
        <f t="shared" si="3"/>
        <v>552594.5</v>
      </c>
      <c r="W41" s="56">
        <f t="shared" si="3"/>
        <v>643462</v>
      </c>
      <c r="X41" s="53">
        <f t="shared" si="3"/>
        <v>525983</v>
      </c>
      <c r="Y41" s="56">
        <f t="shared" si="3"/>
        <v>623533</v>
      </c>
      <c r="Z41" s="53">
        <f t="shared" si="3"/>
        <v>506992.5</v>
      </c>
      <c r="AA41" s="56">
        <f t="shared" si="3"/>
        <v>576090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437200</v>
      </c>
      <c r="D43" s="52">
        <f>D41+D39</f>
        <v>685979.5</v>
      </c>
      <c r="E43" s="55">
        <f>E41+E39</f>
        <v>752153</v>
      </c>
      <c r="F43" s="52">
        <f>F41+F39</f>
        <v>737393</v>
      </c>
      <c r="G43" s="55">
        <f t="shared" ref="G43:AB43" si="4">G41+G39</f>
        <v>808580</v>
      </c>
      <c r="H43" s="52">
        <f t="shared" si="4"/>
        <v>756812.5</v>
      </c>
      <c r="I43" s="55">
        <f t="shared" si="4"/>
        <v>765688</v>
      </c>
      <c r="J43" s="52">
        <f t="shared" si="4"/>
        <v>669662</v>
      </c>
      <c r="K43" s="55">
        <f t="shared" si="4"/>
        <v>718543</v>
      </c>
      <c r="L43" s="52">
        <f t="shared" si="4"/>
        <v>519930.5</v>
      </c>
      <c r="M43" s="55">
        <f t="shared" si="4"/>
        <v>648683</v>
      </c>
      <c r="N43" s="52">
        <f t="shared" si="4"/>
        <v>483679</v>
      </c>
      <c r="O43" s="55">
        <f t="shared" si="4"/>
        <v>620649</v>
      </c>
      <c r="P43" s="52">
        <f t="shared" si="4"/>
        <v>395091.5</v>
      </c>
      <c r="Q43" s="55">
        <f t="shared" si="4"/>
        <v>441398</v>
      </c>
      <c r="R43" s="52">
        <f t="shared" si="4"/>
        <v>519976</v>
      </c>
      <c r="S43" s="55">
        <f t="shared" si="4"/>
        <v>492755</v>
      </c>
      <c r="T43" s="52">
        <f t="shared" si="4"/>
        <v>552594.5</v>
      </c>
      <c r="U43" s="55">
        <f t="shared" si="4"/>
        <v>643462</v>
      </c>
      <c r="V43" s="52">
        <f t="shared" si="4"/>
        <v>525983</v>
      </c>
      <c r="W43" s="55">
        <f t="shared" si="4"/>
        <v>623533</v>
      </c>
      <c r="X43" s="52">
        <f t="shared" si="4"/>
        <v>506992.5</v>
      </c>
      <c r="Y43" s="55">
        <f t="shared" si="4"/>
        <v>576090</v>
      </c>
      <c r="Z43" s="52">
        <f t="shared" si="4"/>
        <v>437200</v>
      </c>
      <c r="AA43" s="55">
        <f t="shared" si="4"/>
        <v>576090</v>
      </c>
      <c r="AB43" s="55">
        <f t="shared" si="4"/>
        <v>576090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x14ac:dyDescent="0.2">
      <c r="A4" s="1"/>
      <c r="B4" s="37">
        <v>1</v>
      </c>
      <c r="C4" s="40"/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15" t="s">
        <v>64</v>
      </c>
      <c r="G5" s="215"/>
      <c r="H5" s="146">
        <v>4674949</v>
      </c>
      <c r="I5" s="145" t="s">
        <v>97</v>
      </c>
    </row>
    <row r="6" spans="1:9" x14ac:dyDescent="0.2">
      <c r="A6" s="1"/>
      <c r="B6" s="38">
        <f t="shared" si="0"/>
        <v>3</v>
      </c>
      <c r="C6" s="39"/>
      <c r="D6" s="1"/>
      <c r="F6" s="215" t="s">
        <v>65</v>
      </c>
      <c r="G6" s="215"/>
      <c r="H6" s="146">
        <v>140250</v>
      </c>
      <c r="I6" s="157" t="s">
        <v>98</v>
      </c>
    </row>
    <row r="7" spans="1:9" x14ac:dyDescent="0.2">
      <c r="A7" s="1"/>
      <c r="B7" s="38">
        <f t="shared" si="0"/>
        <v>4</v>
      </c>
      <c r="C7" s="39"/>
      <c r="D7" s="1"/>
      <c r="F7" s="215" t="s">
        <v>66</v>
      </c>
      <c r="G7" s="215"/>
      <c r="H7" s="146">
        <v>1431853</v>
      </c>
      <c r="I7" s="145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82587</v>
      </c>
      <c r="I8" s="156" t="s">
        <v>104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259909</v>
      </c>
      <c r="I9" s="156" t="s">
        <v>105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45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45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94337</v>
      </c>
      <c r="I18" s="149" t="s">
        <v>101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102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21" t="s">
        <v>103</v>
      </c>
      <c r="G23" s="221"/>
      <c r="H23" s="221"/>
      <c r="I23" s="221"/>
    </row>
    <row r="24" spans="1:11" x14ac:dyDescent="0.2">
      <c r="A24" s="1"/>
      <c r="B24" s="38">
        <f t="shared" si="0"/>
        <v>21</v>
      </c>
      <c r="C24" s="39"/>
      <c r="D24" s="1"/>
      <c r="F24" s="216"/>
      <c r="G24" s="216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15" t="s">
        <v>75</v>
      </c>
      <c r="G25" s="215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77</v>
      </c>
      <c r="G26" s="215"/>
      <c r="H26" s="146">
        <v>-42650</v>
      </c>
      <c r="I26" s="145" t="s">
        <v>78</v>
      </c>
    </row>
    <row r="27" spans="1:11" x14ac:dyDescent="0.2">
      <c r="A27" s="1"/>
      <c r="B27" s="38">
        <f t="shared" si="0"/>
        <v>24</v>
      </c>
      <c r="C27" s="39"/>
      <c r="D27" s="1"/>
      <c r="F27" s="217" t="s">
        <v>14</v>
      </c>
      <c r="G27" s="217"/>
      <c r="H27" s="147">
        <f>SUM(H25:H26)</f>
        <v>-147650</v>
      </c>
      <c r="I27" s="3"/>
      <c r="K27" s="152"/>
    </row>
    <row r="28" spans="1:11" x14ac:dyDescent="0.2">
      <c r="A28" s="1"/>
      <c r="B28" s="38">
        <f t="shared" si="0"/>
        <v>25</v>
      </c>
      <c r="C28" s="39"/>
      <c r="D28" s="1"/>
    </row>
    <row r="29" spans="1:11" x14ac:dyDescent="0.2">
      <c r="A29" s="1"/>
      <c r="B29" s="1"/>
      <c r="C29" s="1"/>
      <c r="D29" s="1"/>
      <c r="F29" s="221" t="s">
        <v>80</v>
      </c>
      <c r="G29" s="221"/>
      <c r="H29" s="221"/>
      <c r="I29" s="221"/>
    </row>
    <row r="30" spans="1:11" x14ac:dyDescent="0.2">
      <c r="F30" s="216"/>
      <c r="G30" s="216"/>
      <c r="H30" s="153" t="s">
        <v>14</v>
      </c>
      <c r="I30" s="154" t="s">
        <v>71</v>
      </c>
    </row>
    <row r="31" spans="1:11" x14ac:dyDescent="0.2">
      <c r="F31" s="215" t="s">
        <v>79</v>
      </c>
      <c r="G31" s="215"/>
      <c r="H31" s="146">
        <v>0</v>
      </c>
      <c r="I31" s="145"/>
    </row>
    <row r="32" spans="1:11" x14ac:dyDescent="0.2">
      <c r="F32" s="217" t="s">
        <v>14</v>
      </c>
      <c r="G32" s="217"/>
      <c r="H32" s="147"/>
      <c r="I32" s="3"/>
    </row>
    <row r="34" spans="6:9" x14ac:dyDescent="0.2">
      <c r="F34" s="221" t="s">
        <v>81</v>
      </c>
      <c r="G34" s="221"/>
      <c r="H34" s="221"/>
      <c r="I34" s="221"/>
    </row>
    <row r="35" spans="6:9" x14ac:dyDescent="0.2">
      <c r="F35" s="216"/>
      <c r="G35" s="216"/>
      <c r="H35" s="144" t="s">
        <v>14</v>
      </c>
      <c r="I35" s="145" t="s">
        <v>71</v>
      </c>
    </row>
    <row r="36" spans="6:9" x14ac:dyDescent="0.2">
      <c r="F36" s="215" t="s">
        <v>82</v>
      </c>
      <c r="G36" s="215"/>
      <c r="H36" s="146">
        <v>33500</v>
      </c>
      <c r="I36" s="145" t="s">
        <v>93</v>
      </c>
    </row>
    <row r="37" spans="6:9" x14ac:dyDescent="0.2">
      <c r="F37" s="219" t="s">
        <v>83</v>
      </c>
      <c r="G37" s="220"/>
      <c r="H37" s="146">
        <v>125000</v>
      </c>
      <c r="I37" s="145" t="s">
        <v>94</v>
      </c>
    </row>
    <row r="38" spans="6:9" x14ac:dyDescent="0.2">
      <c r="F38" s="215" t="s">
        <v>84</v>
      </c>
      <c r="G38" s="215"/>
      <c r="H38" s="146">
        <v>21808</v>
      </c>
      <c r="I38" s="145" t="s">
        <v>95</v>
      </c>
    </row>
    <row r="39" spans="6:9" x14ac:dyDescent="0.2">
      <c r="F39" s="215" t="s">
        <v>85</v>
      </c>
      <c r="G39" s="215"/>
      <c r="H39" s="146">
        <v>1238703</v>
      </c>
      <c r="I39" s="145" t="s">
        <v>106</v>
      </c>
    </row>
    <row r="40" spans="6:9" x14ac:dyDescent="0.2">
      <c r="F40" s="217" t="s">
        <v>14</v>
      </c>
      <c r="G40" s="217"/>
      <c r="H40" s="147">
        <f>SUM(H36:H39)</f>
        <v>1419011</v>
      </c>
      <c r="I40" s="3"/>
    </row>
  </sheetData>
  <mergeCells count="36">
    <mergeCell ref="F38:G38"/>
    <mergeCell ref="F39:G39"/>
    <mergeCell ref="F40:G40"/>
    <mergeCell ref="F37:G37"/>
    <mergeCell ref="F35:G35"/>
    <mergeCell ref="F32:G32"/>
    <mergeCell ref="F34:I34"/>
    <mergeCell ref="F36:G36"/>
    <mergeCell ref="F23:I23"/>
    <mergeCell ref="F29:I29"/>
    <mergeCell ref="F30:G30"/>
    <mergeCell ref="F31:G31"/>
    <mergeCell ref="F26:G26"/>
    <mergeCell ref="F27:G27"/>
    <mergeCell ref="F21:G21"/>
    <mergeCell ref="F16:H16"/>
    <mergeCell ref="F24:G24"/>
    <mergeCell ref="F25:G25"/>
    <mergeCell ref="F20:G20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B2:C2"/>
    <mergeCell ref="B3:C3"/>
    <mergeCell ref="F3:G3"/>
    <mergeCell ref="F5:G5"/>
    <mergeCell ref="F6:G6"/>
    <mergeCell ref="F4:G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I20" sqref="I2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ht="30" x14ac:dyDescent="0.2">
      <c r="A4" s="1"/>
      <c r="B4" s="37">
        <v>1</v>
      </c>
      <c r="C4" s="40" t="s">
        <v>117</v>
      </c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 t="s">
        <v>118</v>
      </c>
      <c r="D5" s="1"/>
      <c r="F5" s="215" t="s">
        <v>64</v>
      </c>
      <c r="G5" s="215"/>
      <c r="H5" s="146">
        <v>4674949</v>
      </c>
      <c r="I5" s="158" t="s">
        <v>97</v>
      </c>
    </row>
    <row r="6" spans="1:9" x14ac:dyDescent="0.2">
      <c r="A6" s="1"/>
      <c r="B6" s="38">
        <f t="shared" si="0"/>
        <v>3</v>
      </c>
      <c r="C6" s="39" t="s">
        <v>119</v>
      </c>
      <c r="D6" s="1"/>
      <c r="F6" s="215" t="s">
        <v>65</v>
      </c>
      <c r="G6" s="215"/>
      <c r="H6" s="146">
        <v>140250</v>
      </c>
      <c r="I6" s="158" t="s">
        <v>98</v>
      </c>
    </row>
    <row r="7" spans="1:9" x14ac:dyDescent="0.2">
      <c r="A7" s="1"/>
      <c r="B7" s="38">
        <f t="shared" si="0"/>
        <v>4</v>
      </c>
      <c r="C7" s="39" t="s">
        <v>120</v>
      </c>
      <c r="D7" s="1"/>
      <c r="F7" s="215" t="s">
        <v>66</v>
      </c>
      <c r="G7" s="215"/>
      <c r="H7" s="146">
        <v>1431853</v>
      </c>
      <c r="I7" s="158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93807</v>
      </c>
      <c r="I8" s="158" t="s">
        <v>107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265080</v>
      </c>
      <c r="I9" s="158" t="s">
        <v>108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58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58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58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58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6704219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ht="30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114337</v>
      </c>
      <c r="I18" s="149" t="s">
        <v>115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123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9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212407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</row>
    <row r="24" spans="1:11" x14ac:dyDescent="0.2">
      <c r="A24" s="1"/>
      <c r="B24" s="38">
        <f t="shared" si="0"/>
        <v>21</v>
      </c>
      <c r="C24" s="39"/>
      <c r="D24" s="1"/>
      <c r="F24" s="221" t="s">
        <v>109</v>
      </c>
      <c r="G24" s="221"/>
      <c r="H24" s="221"/>
      <c r="I24" s="221"/>
    </row>
    <row r="25" spans="1:11" x14ac:dyDescent="0.2">
      <c r="A25" s="1"/>
      <c r="B25" s="38">
        <f t="shared" si="0"/>
        <v>22</v>
      </c>
      <c r="C25" s="39"/>
      <c r="D25" s="1"/>
      <c r="F25" s="216"/>
      <c r="G25" s="216"/>
      <c r="H25" s="153" t="s">
        <v>14</v>
      </c>
      <c r="I25" s="154" t="s">
        <v>71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22</v>
      </c>
      <c r="G26" s="215"/>
      <c r="H26" s="146">
        <v>6088651</v>
      </c>
      <c r="I26" s="158" t="s">
        <v>121</v>
      </c>
    </row>
    <row r="27" spans="1:11" x14ac:dyDescent="0.2">
      <c r="A27" s="1"/>
      <c r="B27" s="38">
        <f t="shared" si="0"/>
        <v>24</v>
      </c>
      <c r="C27" s="39"/>
      <c r="D27" s="1"/>
      <c r="F27" s="215" t="s">
        <v>112</v>
      </c>
      <c r="G27" s="215"/>
      <c r="H27" s="146">
        <v>88478</v>
      </c>
      <c r="I27" s="158"/>
      <c r="K27" s="152"/>
    </row>
    <row r="28" spans="1:11" x14ac:dyDescent="0.2">
      <c r="A28" s="1"/>
      <c r="B28" s="38">
        <f t="shared" si="0"/>
        <v>25</v>
      </c>
      <c r="C28" s="39"/>
      <c r="D28" s="1"/>
      <c r="F28" s="215" t="s">
        <v>113</v>
      </c>
      <c r="G28" s="215"/>
      <c r="H28" s="146">
        <v>12141</v>
      </c>
      <c r="I28" s="158"/>
    </row>
    <row r="29" spans="1:11" x14ac:dyDescent="0.2">
      <c r="A29" s="1"/>
      <c r="B29" s="1"/>
      <c r="C29" s="1"/>
      <c r="D29" s="1"/>
      <c r="F29" s="215" t="s">
        <v>114</v>
      </c>
      <c r="G29" s="215"/>
      <c r="H29" s="146">
        <v>119905</v>
      </c>
      <c r="I29" s="158"/>
    </row>
    <row r="30" spans="1:11" x14ac:dyDescent="0.2">
      <c r="F30" s="215" t="s">
        <v>79</v>
      </c>
      <c r="G30" s="215"/>
      <c r="H30" s="146">
        <v>0</v>
      </c>
      <c r="I30" s="158" t="s">
        <v>111</v>
      </c>
    </row>
    <row r="31" spans="1:11" x14ac:dyDescent="0.2">
      <c r="F31" s="217" t="s">
        <v>14</v>
      </c>
      <c r="G31" s="217"/>
      <c r="H31" s="147">
        <f>SUM(H26:H30)</f>
        <v>6309175</v>
      </c>
      <c r="I31" s="3"/>
    </row>
    <row r="33" spans="6:9" x14ac:dyDescent="0.2">
      <c r="F33" s="221" t="s">
        <v>110</v>
      </c>
      <c r="G33" s="221"/>
      <c r="H33" s="221"/>
      <c r="I33" s="221"/>
    </row>
    <row r="34" spans="6:9" x14ac:dyDescent="0.2">
      <c r="F34" s="216"/>
      <c r="G34" s="216"/>
      <c r="H34" s="144" t="s">
        <v>14</v>
      </c>
      <c r="I34" s="158" t="s">
        <v>71</v>
      </c>
    </row>
    <row r="35" spans="6:9" x14ac:dyDescent="0.2">
      <c r="F35" s="215" t="s">
        <v>82</v>
      </c>
      <c r="G35" s="215"/>
      <c r="H35" s="146">
        <v>33500</v>
      </c>
      <c r="I35" s="158" t="s">
        <v>93</v>
      </c>
    </row>
    <row r="36" spans="6:9" x14ac:dyDescent="0.2">
      <c r="F36" s="219" t="s">
        <v>83</v>
      </c>
      <c r="G36" s="220"/>
      <c r="H36" s="146">
        <v>125000</v>
      </c>
      <c r="I36" s="158" t="s">
        <v>94</v>
      </c>
    </row>
    <row r="37" spans="6:9" x14ac:dyDescent="0.2">
      <c r="F37" s="215" t="s">
        <v>84</v>
      </c>
      <c r="G37" s="215"/>
      <c r="H37" s="146">
        <v>21808</v>
      </c>
      <c r="I37" s="158" t="s">
        <v>95</v>
      </c>
    </row>
    <row r="38" spans="6:9" x14ac:dyDescent="0.2">
      <c r="F38" s="215" t="s">
        <v>85</v>
      </c>
      <c r="G38" s="215"/>
      <c r="H38" s="146">
        <v>1078818</v>
      </c>
      <c r="I38" s="158" t="s">
        <v>122</v>
      </c>
    </row>
    <row r="39" spans="6:9" x14ac:dyDescent="0.2">
      <c r="F39" s="217" t="s">
        <v>14</v>
      </c>
      <c r="G39" s="217"/>
      <c r="H39" s="147">
        <f>SUM(H35:H38)</f>
        <v>1259126</v>
      </c>
      <c r="I39" s="3"/>
    </row>
  </sheetData>
  <mergeCells count="35">
    <mergeCell ref="F12:G12"/>
    <mergeCell ref="B2:C2"/>
    <mergeCell ref="B3:C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20:G20"/>
    <mergeCell ref="F21:G21"/>
    <mergeCell ref="F13:G13"/>
    <mergeCell ref="F14:G14"/>
    <mergeCell ref="F16:H16"/>
    <mergeCell ref="F17:G17"/>
    <mergeCell ref="F18:G18"/>
    <mergeCell ref="F19:G19"/>
    <mergeCell ref="F39:G39"/>
    <mergeCell ref="F27:G27"/>
    <mergeCell ref="F24:I24"/>
    <mergeCell ref="F25:G25"/>
    <mergeCell ref="F30:G30"/>
    <mergeCell ref="F31:G31"/>
    <mergeCell ref="F33:I33"/>
    <mergeCell ref="F26:G26"/>
    <mergeCell ref="F28:G28"/>
    <mergeCell ref="F29:G29"/>
    <mergeCell ref="F34:G34"/>
    <mergeCell ref="F35:G35"/>
    <mergeCell ref="F36:G36"/>
    <mergeCell ref="F37:G37"/>
    <mergeCell ref="F38:G3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87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G7:M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1419011</v>
      </c>
      <c r="D30" s="88">
        <f>103225+10904</f>
        <v>114129</v>
      </c>
      <c r="E30" s="88">
        <f>103225+33500+30000</f>
        <v>166725</v>
      </c>
      <c r="F30" s="88">
        <f>103225</f>
        <v>103225</v>
      </c>
      <c r="G30" s="88">
        <f>103225</f>
        <v>103225</v>
      </c>
      <c r="H30" s="88">
        <f>103225+75000</f>
        <v>178225</v>
      </c>
      <c r="I30" s="88">
        <f>103225</f>
        <v>103225</v>
      </c>
      <c r="J30" s="88">
        <f>103225+10904</f>
        <v>114129</v>
      </c>
      <c r="K30" s="88">
        <f>103225</f>
        <v>103225</v>
      </c>
      <c r="L30" s="88">
        <f>103225</f>
        <v>103225</v>
      </c>
      <c r="M30" s="88">
        <f>103225+10000</f>
        <v>113225</v>
      </c>
      <c r="N30" s="88">
        <f>103225+10000</f>
        <v>113225</v>
      </c>
      <c r="O30" s="88">
        <f>103228</f>
        <v>103228</v>
      </c>
      <c r="P30" s="91">
        <f>SUM(D30:O30)</f>
        <v>1419011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7666688</v>
      </c>
      <c r="D37" s="77">
        <f t="shared" ref="D37:O37" si="2">SUM(D26:D36)</f>
        <v>739187</v>
      </c>
      <c r="E37" s="77">
        <f t="shared" si="2"/>
        <v>684987</v>
      </c>
      <c r="F37" s="77">
        <f t="shared" si="2"/>
        <v>605487</v>
      </c>
      <c r="G37" s="77">
        <f t="shared" si="2"/>
        <v>654737</v>
      </c>
      <c r="H37" s="77">
        <f t="shared" si="2"/>
        <v>680487</v>
      </c>
      <c r="I37" s="77">
        <f t="shared" si="2"/>
        <v>605487</v>
      </c>
      <c r="J37" s="77">
        <f t="shared" si="2"/>
        <v>648869</v>
      </c>
      <c r="K37" s="77">
        <f t="shared" si="2"/>
        <v>605487</v>
      </c>
      <c r="L37" s="77">
        <f t="shared" si="2"/>
        <v>605487</v>
      </c>
      <c r="M37" s="77">
        <f t="shared" si="2"/>
        <v>615487</v>
      </c>
      <c r="N37" s="77">
        <f t="shared" si="2"/>
        <v>615487</v>
      </c>
      <c r="O37" s="78">
        <f t="shared" si="2"/>
        <v>605499</v>
      </c>
      <c r="P37" s="76">
        <f>SUM(D37:O37)</f>
        <v>7666688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-502382</v>
      </c>
      <c r="D39" s="76">
        <f t="shared" ref="D39:P39" si="3">D21-D37</f>
        <v>-187525</v>
      </c>
      <c r="E39" s="76">
        <f t="shared" si="3"/>
        <v>-22774</v>
      </c>
      <c r="F39" s="76">
        <f t="shared" si="3"/>
        <v>139989</v>
      </c>
      <c r="G39" s="76">
        <f t="shared" si="3"/>
        <v>-129200</v>
      </c>
      <c r="H39" s="76">
        <f t="shared" si="3"/>
        <v>-119888</v>
      </c>
      <c r="I39" s="76">
        <f t="shared" si="3"/>
        <v>-46408</v>
      </c>
      <c r="J39" s="76">
        <f t="shared" si="3"/>
        <v>-102744</v>
      </c>
      <c r="K39" s="76">
        <f t="shared" si="3"/>
        <v>93530</v>
      </c>
      <c r="L39" s="76">
        <f t="shared" si="3"/>
        <v>22462</v>
      </c>
      <c r="M39" s="76">
        <f t="shared" si="3"/>
        <v>-40733</v>
      </c>
      <c r="N39" s="76">
        <f t="shared" si="3"/>
        <v>-29147</v>
      </c>
      <c r="O39" s="76">
        <f t="shared" si="3"/>
        <v>-79944</v>
      </c>
      <c r="P39" s="76">
        <f t="shared" si="3"/>
        <v>-502382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612679</v>
      </c>
      <c r="F41" s="84">
        <f t="shared" ref="F41:O41" si="4">E41+E39</f>
        <v>589905</v>
      </c>
      <c r="G41" s="84">
        <f t="shared" si="4"/>
        <v>729894</v>
      </c>
      <c r="H41" s="84">
        <f t="shared" si="4"/>
        <v>600694</v>
      </c>
      <c r="I41" s="84">
        <f t="shared" si="4"/>
        <v>480806</v>
      </c>
      <c r="J41" s="84">
        <f t="shared" si="4"/>
        <v>434398</v>
      </c>
      <c r="K41" s="84">
        <f t="shared" si="4"/>
        <v>331654</v>
      </c>
      <c r="L41" s="84">
        <f t="shared" si="4"/>
        <v>425184</v>
      </c>
      <c r="M41" s="84">
        <f t="shared" si="4"/>
        <v>447646</v>
      </c>
      <c r="N41" s="84">
        <f t="shared" si="4"/>
        <v>406913</v>
      </c>
      <c r="O41" s="84">
        <f t="shared" si="4"/>
        <v>377766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297822</v>
      </c>
      <c r="D43" s="76">
        <f t="shared" ref="D43:O43" si="5">D41+D39</f>
        <v>612679</v>
      </c>
      <c r="E43" s="76">
        <f t="shared" si="5"/>
        <v>589905</v>
      </c>
      <c r="F43" s="76">
        <f t="shared" si="5"/>
        <v>729894</v>
      </c>
      <c r="G43" s="76">
        <f t="shared" si="5"/>
        <v>600694</v>
      </c>
      <c r="H43" s="76">
        <f t="shared" si="5"/>
        <v>480806</v>
      </c>
      <c r="I43" s="76">
        <f t="shared" si="5"/>
        <v>434398</v>
      </c>
      <c r="J43" s="76">
        <f t="shared" si="5"/>
        <v>331654</v>
      </c>
      <c r="K43" s="76">
        <f t="shared" si="5"/>
        <v>425184</v>
      </c>
      <c r="L43" s="76">
        <f t="shared" si="5"/>
        <v>447646</v>
      </c>
      <c r="M43" s="76">
        <f t="shared" si="5"/>
        <v>406913</v>
      </c>
      <c r="N43" s="76">
        <f t="shared" si="5"/>
        <v>377766</v>
      </c>
      <c r="O43" s="76">
        <f t="shared" si="5"/>
        <v>297822</v>
      </c>
      <c r="P43" s="76">
        <f>O43</f>
        <v>297822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1">
    <mergeCell ref="G5:G6"/>
    <mergeCell ref="B2:C2"/>
    <mergeCell ref="C5:C6"/>
    <mergeCell ref="D5:D6"/>
    <mergeCell ref="E5:E6"/>
    <mergeCell ref="F5:F6"/>
    <mergeCell ref="N5:N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H5:H6"/>
    <mergeCell ref="I5:I6"/>
    <mergeCell ref="J5:J6"/>
    <mergeCell ref="K5:K6"/>
    <mergeCell ref="L5:L6"/>
    <mergeCell ref="M5:M6"/>
    <mergeCell ref="O24:O25"/>
    <mergeCell ref="P24:P25"/>
    <mergeCell ref="Q24:Q25"/>
    <mergeCell ref="I24:I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2020-02-05T16:09:44Z</cp:lastPrinted>
  <dcterms:created xsi:type="dcterms:W3CDTF">2018-10-18T12:28:19Z</dcterms:created>
  <dcterms:modified xsi:type="dcterms:W3CDTF">2020-09-18T13:01:18Z</dcterms:modified>
</cp:coreProperties>
</file>