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 SLT &amp; Governors\Resources Governors\2017_04_21\"/>
    </mc:Choice>
  </mc:AlternateContent>
  <bookViews>
    <workbookView xWindow="0" yWindow="0" windowWidth="28800" windowHeight="1228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E39" i="1"/>
  <c r="G39" i="1"/>
  <c r="I39" i="1"/>
  <c r="K39" i="1"/>
  <c r="M39" i="1"/>
  <c r="O39" i="1"/>
  <c r="Q39" i="1"/>
  <c r="R39" i="1"/>
  <c r="S39" i="1"/>
  <c r="T39" i="1"/>
  <c r="U39" i="1"/>
  <c r="V39" i="1"/>
  <c r="W39" i="1"/>
  <c r="X39" i="1"/>
  <c r="Y39" i="1"/>
  <c r="Z39" i="1"/>
  <c r="AA39" i="1"/>
  <c r="B39" i="1"/>
  <c r="AA23" i="1"/>
  <c r="Z23" i="1"/>
  <c r="Y23" i="1"/>
  <c r="X23" i="1"/>
  <c r="X41" i="1" s="1"/>
  <c r="W23" i="1"/>
  <c r="V23" i="1"/>
  <c r="V41" i="1" s="1"/>
  <c r="U23" i="1"/>
  <c r="T23" i="1"/>
  <c r="T41" i="1" s="1"/>
  <c r="S23" i="1"/>
  <c r="R23" i="1"/>
  <c r="R41" i="1" s="1"/>
  <c r="Q23" i="1"/>
  <c r="O23" i="1"/>
  <c r="M23" i="1"/>
  <c r="K23" i="1"/>
  <c r="I23" i="1"/>
  <c r="G23" i="1"/>
  <c r="G41" i="1" s="1"/>
  <c r="E23" i="1"/>
  <c r="B23" i="1"/>
  <c r="C23" i="1"/>
  <c r="C41" i="1" s="1"/>
  <c r="C45" i="1" s="1"/>
  <c r="E43" i="1" s="1"/>
  <c r="B41" i="1" l="1"/>
  <c r="B45" i="1" s="1"/>
  <c r="Z41" i="1"/>
  <c r="I41" i="1"/>
  <c r="Q41" i="1"/>
  <c r="U41" i="1"/>
  <c r="Y41" i="1"/>
  <c r="AA41" i="1"/>
  <c r="W41" i="1"/>
  <c r="S41" i="1"/>
  <c r="K41" i="1"/>
  <c r="E41" i="1"/>
  <c r="E45" i="1" s="1"/>
  <c r="G43" i="1" s="1"/>
  <c r="G45" i="1" s="1"/>
  <c r="I43" i="1" s="1"/>
  <c r="I45" i="1" s="1"/>
  <c r="K43" i="1" s="1"/>
  <c r="M41" i="1"/>
  <c r="O41" i="1"/>
  <c r="P36" i="1"/>
  <c r="N36" i="1"/>
  <c r="J36" i="1"/>
  <c r="H36" i="1"/>
  <c r="F36" i="1"/>
  <c r="D36" i="1"/>
  <c r="F35" i="1"/>
  <c r="L34" i="1"/>
  <c r="N33" i="1"/>
  <c r="F33" i="1"/>
  <c r="D33" i="1"/>
  <c r="P32" i="1"/>
  <c r="N32" i="1"/>
  <c r="L32" i="1"/>
  <c r="J32" i="1"/>
  <c r="H32" i="1"/>
  <c r="F32" i="1"/>
  <c r="D32" i="1"/>
  <c r="P31" i="1"/>
  <c r="N31" i="1"/>
  <c r="L31" i="1"/>
  <c r="J31" i="1"/>
  <c r="H31" i="1"/>
  <c r="F31" i="1"/>
  <c r="P30" i="1"/>
  <c r="N30" i="1"/>
  <c r="L30" i="1"/>
  <c r="J30" i="1"/>
  <c r="H30" i="1"/>
  <c r="F30" i="1"/>
  <c r="D30" i="1"/>
  <c r="P29" i="1"/>
  <c r="N29" i="1"/>
  <c r="L29" i="1"/>
  <c r="J29" i="1"/>
  <c r="H29" i="1"/>
  <c r="F29" i="1"/>
  <c r="D29" i="1"/>
  <c r="P28" i="1"/>
  <c r="N28" i="1"/>
  <c r="L28" i="1"/>
  <c r="J28" i="1"/>
  <c r="H28" i="1"/>
  <c r="F28" i="1"/>
  <c r="D28" i="1"/>
  <c r="P27" i="1"/>
  <c r="N27" i="1"/>
  <c r="L27" i="1"/>
  <c r="J27" i="1"/>
  <c r="H27" i="1"/>
  <c r="F27" i="1"/>
  <c r="D27" i="1"/>
  <c r="P26" i="1"/>
  <c r="N26" i="1"/>
  <c r="L26" i="1"/>
  <c r="J26" i="1"/>
  <c r="H26" i="1"/>
  <c r="F26" i="1"/>
  <c r="D26" i="1"/>
  <c r="P25" i="1"/>
  <c r="N25" i="1"/>
  <c r="L25" i="1"/>
  <c r="J25" i="1"/>
  <c r="H25" i="1"/>
  <c r="F25" i="1"/>
  <c r="D25" i="1"/>
  <c r="D22" i="1"/>
  <c r="N20" i="1"/>
  <c r="P19" i="1"/>
  <c r="N19" i="1"/>
  <c r="L19" i="1"/>
  <c r="J19" i="1"/>
  <c r="F19" i="1"/>
  <c r="D19" i="1"/>
  <c r="P18" i="1"/>
  <c r="N18" i="1"/>
  <c r="L18" i="1"/>
  <c r="J18" i="1"/>
  <c r="H18" i="1"/>
  <c r="F18" i="1"/>
  <c r="D18" i="1"/>
  <c r="P17" i="1"/>
  <c r="N17" i="1"/>
  <c r="L17" i="1"/>
  <c r="J17" i="1"/>
  <c r="F17" i="1"/>
  <c r="D17" i="1"/>
  <c r="P16" i="1"/>
  <c r="N16" i="1"/>
  <c r="J16" i="1"/>
  <c r="J9" i="1"/>
  <c r="F9" i="1"/>
  <c r="P8" i="1"/>
  <c r="L8" i="1"/>
  <c r="H8" i="1"/>
  <c r="F8" i="1"/>
  <c r="L7" i="1"/>
  <c r="J6" i="1"/>
  <c r="F6" i="1"/>
  <c r="D6" i="1"/>
  <c r="H23" i="1" l="1"/>
  <c r="K45" i="1"/>
  <c r="M43" i="1" s="1"/>
  <c r="M45" i="1" s="1"/>
  <c r="O43" i="1" s="1"/>
  <c r="O45" i="1" s="1"/>
  <c r="Q43" i="1" s="1"/>
  <c r="Q45" i="1" s="1"/>
  <c r="S43" i="1" s="1"/>
  <c r="S45" i="1" s="1"/>
  <c r="U43" i="1" s="1"/>
  <c r="U45" i="1" s="1"/>
  <c r="W43" i="1" s="1"/>
  <c r="W45" i="1" s="1"/>
  <c r="Y43" i="1" s="1"/>
  <c r="Y45" i="1" s="1"/>
  <c r="L23" i="1"/>
  <c r="P23" i="1"/>
  <c r="N23" i="1"/>
  <c r="F39" i="1"/>
  <c r="N39" i="1"/>
  <c r="D23" i="1"/>
  <c r="H39" i="1"/>
  <c r="H41" i="1" s="1"/>
  <c r="P39" i="1"/>
  <c r="J39" i="1"/>
  <c r="F23" i="1"/>
  <c r="J23" i="1"/>
  <c r="D39" i="1"/>
  <c r="L39" i="1"/>
  <c r="L41" i="1" s="1"/>
  <c r="P41" i="1" l="1"/>
  <c r="N41" i="1"/>
  <c r="F41" i="1"/>
  <c r="J41" i="1"/>
  <c r="D41" i="1"/>
  <c r="D45" i="1" s="1"/>
  <c r="F43" i="1" s="1"/>
  <c r="F45" i="1" l="1"/>
  <c r="H43" i="1" s="1"/>
  <c r="H45" i="1" s="1"/>
  <c r="J43" i="1" s="1"/>
  <c r="J45" i="1" s="1"/>
  <c r="L43" i="1" s="1"/>
  <c r="L45" i="1" s="1"/>
  <c r="N43" i="1" s="1"/>
  <c r="N45" i="1" s="1"/>
  <c r="P43" i="1" s="1"/>
  <c r="P45" i="1" s="1"/>
  <c r="R43" i="1" s="1"/>
  <c r="R45" i="1" s="1"/>
  <c r="T43" i="1" s="1"/>
  <c r="T45" i="1" s="1"/>
  <c r="V43" i="1" s="1"/>
  <c r="V45" i="1" s="1"/>
  <c r="X43" i="1" s="1"/>
  <c r="X45" i="1" s="1"/>
  <c r="Z43" i="1" s="1"/>
  <c r="Z45" i="1" s="1"/>
</calcChain>
</file>

<file path=xl/sharedStrings.xml><?xml version="1.0" encoding="utf-8"?>
<sst xmlns="http://schemas.openxmlformats.org/spreadsheetml/2006/main" count="69" uniqueCount="68">
  <si>
    <t>Cashflow Expected vs Actuals</t>
  </si>
  <si>
    <t>2016-17 (JAN re-forecast)</t>
  </si>
  <si>
    <t>Month:</t>
  </si>
  <si>
    <t>Full Year Expected</t>
  </si>
  <si>
    <t>Expected Sept</t>
  </si>
  <si>
    <t>Actuals Sept</t>
  </si>
  <si>
    <t>Expected Oct</t>
  </si>
  <si>
    <t>Actuals Oct</t>
  </si>
  <si>
    <t>Expected Nov</t>
  </si>
  <si>
    <t>Actuals Nov</t>
  </si>
  <si>
    <t>Expected Dec</t>
  </si>
  <si>
    <t>Actuals Dec</t>
  </si>
  <si>
    <t>Expected Jan</t>
  </si>
  <si>
    <t>Actuals Jan</t>
  </si>
  <si>
    <t>Expected Feb</t>
  </si>
  <si>
    <t>Actuals Feb</t>
  </si>
  <si>
    <t>Expected Mar</t>
  </si>
  <si>
    <t>Actuals Mar</t>
  </si>
  <si>
    <t>Expected Apr</t>
  </si>
  <si>
    <t>Actuals Apr</t>
  </si>
  <si>
    <t>Expected May</t>
  </si>
  <si>
    <t>Actuals May</t>
  </si>
  <si>
    <t>Expected Jun</t>
  </si>
  <si>
    <t>Actuals June</t>
  </si>
  <si>
    <t>Expected Jul</t>
  </si>
  <si>
    <t>Actuals July</t>
  </si>
  <si>
    <t>Expected Aug</t>
  </si>
  <si>
    <t>Actuals Aug</t>
  </si>
  <si>
    <t>Total Actuals</t>
  </si>
  <si>
    <t>Income</t>
  </si>
  <si>
    <t xml:space="preserve"> </t>
  </si>
  <si>
    <t>School Budget Share (incl.ESG &amp; MFG)</t>
  </si>
  <si>
    <t>Pupil Premium</t>
  </si>
  <si>
    <t>LA High Needs Funding</t>
  </si>
  <si>
    <t>6th Form Funding 16-19 Allocation</t>
  </si>
  <si>
    <t>EFA Capital Cladding 2015</t>
  </si>
  <si>
    <t>Rates</t>
  </si>
  <si>
    <t>EFA Capital Pipes 2016</t>
  </si>
  <si>
    <t>Bursary funding</t>
  </si>
  <si>
    <t>LA Falling Roll</t>
  </si>
  <si>
    <t>Looked after children</t>
  </si>
  <si>
    <t>Bexley income</t>
  </si>
  <si>
    <t>Lettings income</t>
  </si>
  <si>
    <t>Parent Donations</t>
  </si>
  <si>
    <t>Misc income\Bank Interest</t>
  </si>
  <si>
    <t>Schools games income</t>
  </si>
  <si>
    <t>Devolved Formula Capital Income</t>
  </si>
  <si>
    <t>Debtors from last year</t>
  </si>
  <si>
    <t>Total Receipts</t>
  </si>
  <si>
    <t>Expenditure</t>
  </si>
  <si>
    <t>Staffing Costs</t>
  </si>
  <si>
    <t>Other Employee Expenses</t>
  </si>
  <si>
    <t>Maintenance of Premises</t>
  </si>
  <si>
    <t>Other Occupancy Costs</t>
  </si>
  <si>
    <t>ICT costs</t>
  </si>
  <si>
    <t>Other Supplies &amp; Services</t>
  </si>
  <si>
    <t>School improvement &amp; Marketing</t>
  </si>
  <si>
    <t>Capitation curriculum</t>
  </si>
  <si>
    <t>16-19 Bursary</t>
  </si>
  <si>
    <t>EFA Capital cladding 2015</t>
  </si>
  <si>
    <t>EFA Capital pipes 2016</t>
  </si>
  <si>
    <t>Employee Accruals from last year</t>
  </si>
  <si>
    <t>Creditors from last year</t>
  </si>
  <si>
    <t>Total Payments</t>
  </si>
  <si>
    <t>Cashflow Surplus/Deficit (-)</t>
  </si>
  <si>
    <t>Opening Cash Balance</t>
  </si>
  <si>
    <t>Closing Cash Balance</t>
  </si>
  <si>
    <t>MISC categories removed for Resources April 2017  **REVIEW ONLY - NOT ACTUAL POSITION**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</si>
</sst>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2"/>
      <color theme="1"/>
      <name val="Cambria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medium">
        <color indexed="8"/>
      </top>
      <bottom style="medium">
        <color indexed="64"/>
      </bottom>
      <diagonal/>
    </border>
  </borders>
  <cellStyleXfs count="8">
    <xf numFmtId="0" fontId="0" fillId="0" borderId="0"/>
    <xf numFmtId="37" fontId="4" fillId="3" borderId="4" applyBorder="0">
      <alignment horizontal="left" vertical="center" indent="1"/>
    </xf>
    <xf numFmtId="0" fontId="6" fillId="4" borderId="12" applyNumberFormat="0">
      <alignment horizontal="left" vertical="top" indent="1"/>
    </xf>
    <xf numFmtId="0" fontId="6" fillId="0" borderId="12" applyNumberFormat="0" applyFill="0">
      <alignment horizontal="centerContinuous" vertical="top"/>
    </xf>
    <xf numFmtId="0" fontId="6" fillId="5" borderId="0" applyBorder="0">
      <alignment horizontal="left" vertical="center" indent="1"/>
    </xf>
    <xf numFmtId="4" fontId="10" fillId="5" borderId="7" applyBorder="0">
      <alignment horizontal="left" vertical="center" indent="2"/>
    </xf>
    <xf numFmtId="37" fontId="10" fillId="5" borderId="5" applyBorder="0" applyProtection="0">
      <alignment vertical="center"/>
    </xf>
    <xf numFmtId="37" fontId="6" fillId="0" borderId="21">
      <alignment vertical="center"/>
    </xf>
  </cellStyleXfs>
  <cellXfs count="55">
    <xf numFmtId="0" fontId="0" fillId="0" borderId="0" xfId="0"/>
    <xf numFmtId="0" fontId="1" fillId="2" borderId="1" xfId="0" applyFont="1" applyFill="1" applyBorder="1" applyAlignment="1" applyProtection="1">
      <alignment wrapText="1"/>
      <protection hidden="1"/>
    </xf>
    <xf numFmtId="0" fontId="1" fillId="2" borderId="2" xfId="0" applyFont="1" applyFill="1" applyBorder="1" applyAlignment="1" applyProtection="1">
      <alignment wrapText="1"/>
      <protection hidden="1"/>
    </xf>
    <xf numFmtId="0" fontId="1" fillId="2" borderId="3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1" fillId="2" borderId="8" xfId="0" applyFont="1" applyFill="1" applyBorder="1" applyAlignment="1" applyProtection="1">
      <alignment wrapText="1"/>
      <protection hidden="1"/>
    </xf>
    <xf numFmtId="37" fontId="5" fillId="2" borderId="9" xfId="1" applyFont="1" applyFill="1" applyBorder="1" applyAlignment="1" applyProtection="1">
      <alignment horizontal="left" vertical="center" wrapText="1"/>
      <protection hidden="1"/>
    </xf>
    <xf numFmtId="37" fontId="5" fillId="2" borderId="10" xfId="1" applyFont="1" applyFill="1" applyBorder="1" applyAlignment="1" applyProtection="1">
      <alignment horizontal="left" vertical="center" wrapText="1"/>
      <protection hidden="1"/>
    </xf>
    <xf numFmtId="37" fontId="5" fillId="2" borderId="11" xfId="1" applyFont="1" applyFill="1" applyBorder="1" applyAlignment="1" applyProtection="1">
      <alignment horizontal="left" vertical="center" wrapText="1"/>
      <protection hidden="1"/>
    </xf>
    <xf numFmtId="38" fontId="7" fillId="4" borderId="13" xfId="2" applyNumberFormat="1" applyFont="1" applyBorder="1" applyAlignment="1" applyProtection="1">
      <alignment horizontal="center" vertical="center" wrapText="1"/>
      <protection hidden="1"/>
    </xf>
    <xf numFmtId="38" fontId="7" fillId="5" borderId="14" xfId="3" applyNumberFormat="1" applyFont="1" applyFill="1" applyBorder="1" applyAlignment="1" applyProtection="1">
      <alignment horizontal="center" vertical="center" wrapText="1"/>
      <protection hidden="1"/>
    </xf>
    <xf numFmtId="38" fontId="8" fillId="5" borderId="14" xfId="3" applyNumberFormat="1" applyFont="1" applyFill="1" applyBorder="1" applyAlignment="1" applyProtection="1">
      <alignment horizontal="center" vertical="center" wrapText="1"/>
      <protection hidden="1"/>
    </xf>
    <xf numFmtId="38" fontId="7" fillId="2" borderId="14" xfId="3" applyNumberFormat="1" applyFont="1" applyFill="1" applyBorder="1" applyAlignment="1" applyProtection="1">
      <alignment horizontal="center" vertical="center" wrapText="1"/>
      <protection hidden="1"/>
    </xf>
    <xf numFmtId="38" fontId="7" fillId="5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16" xfId="4" applyNumberFormat="1" applyFont="1" applyBorder="1" applyAlignment="1" applyProtection="1">
      <alignment vertical="center" wrapText="1"/>
      <protection hidden="1"/>
    </xf>
    <xf numFmtId="38" fontId="2" fillId="0" borderId="17" xfId="0" applyNumberFormat="1" applyFont="1" applyBorder="1" applyAlignment="1" applyProtection="1">
      <alignment wrapText="1"/>
      <protection hidden="1"/>
    </xf>
    <xf numFmtId="38" fontId="9" fillId="0" borderId="17" xfId="0" applyNumberFormat="1" applyFont="1" applyBorder="1" applyAlignment="1" applyProtection="1">
      <alignment wrapText="1"/>
      <protection hidden="1"/>
    </xf>
    <xf numFmtId="38" fontId="9" fillId="2" borderId="17" xfId="0" applyNumberFormat="1" applyFont="1" applyFill="1" applyBorder="1" applyAlignment="1" applyProtection="1">
      <alignment wrapText="1"/>
      <protection hidden="1"/>
    </xf>
    <xf numFmtId="38" fontId="2" fillId="0" borderId="18" xfId="0" applyNumberFormat="1" applyFont="1" applyBorder="1" applyAlignment="1" applyProtection="1">
      <alignment wrapText="1"/>
      <protection hidden="1"/>
    </xf>
    <xf numFmtId="0" fontId="2" fillId="5" borderId="19" xfId="5" applyNumberFormat="1" applyFont="1" applyBorder="1" applyAlignment="1" applyProtection="1">
      <alignment vertical="center" wrapText="1"/>
      <protection hidden="1"/>
    </xf>
    <xf numFmtId="38" fontId="2" fillId="0" borderId="20" xfId="6" applyNumberFormat="1" applyFont="1" applyFill="1" applyBorder="1" applyAlignment="1" applyProtection="1">
      <alignment vertical="center" wrapText="1"/>
      <protection hidden="1"/>
    </xf>
    <xf numFmtId="38" fontId="2" fillId="5" borderId="20" xfId="6" applyNumberFormat="1" applyFont="1" applyBorder="1" applyAlignment="1" applyProtection="1">
      <alignment vertical="center" wrapText="1"/>
      <protection hidden="1"/>
    </xf>
    <xf numFmtId="38" fontId="2" fillId="2" borderId="20" xfId="6" applyNumberFormat="1" applyFont="1" applyFill="1" applyBorder="1" applyAlignment="1" applyProtection="1">
      <alignment vertical="center" wrapText="1"/>
      <protection locked="0"/>
    </xf>
    <xf numFmtId="38" fontId="7" fillId="6" borderId="22" xfId="7" applyNumberFormat="1" applyFont="1" applyFill="1" applyBorder="1" applyAlignment="1" applyProtection="1">
      <alignment vertical="center" wrapText="1"/>
      <protection hidden="1"/>
    </xf>
    <xf numFmtId="0" fontId="2" fillId="5" borderId="23" xfId="5" applyNumberFormat="1" applyFont="1" applyBorder="1" applyAlignment="1" applyProtection="1">
      <alignment vertical="center" wrapText="1"/>
      <protection hidden="1"/>
    </xf>
    <xf numFmtId="38" fontId="2" fillId="2" borderId="24" xfId="6" applyNumberFormat="1" applyFont="1" applyFill="1" applyBorder="1" applyAlignment="1" applyProtection="1">
      <alignment vertical="center" wrapText="1"/>
      <protection locked="0"/>
    </xf>
    <xf numFmtId="164" fontId="2" fillId="5" borderId="23" xfId="5" applyNumberFormat="1" applyFont="1" applyBorder="1" applyAlignment="1" applyProtection="1">
      <alignment vertical="center" wrapText="1"/>
      <protection hidden="1"/>
    </xf>
    <xf numFmtId="38" fontId="7" fillId="7" borderId="25" xfId="2" applyNumberFormat="1" applyFont="1" applyFill="1" applyBorder="1" applyAlignment="1" applyProtection="1">
      <alignment horizontal="left" vertical="top" wrapText="1"/>
      <protection hidden="1"/>
    </xf>
    <xf numFmtId="38" fontId="7" fillId="6" borderId="26" xfId="7" applyNumberFormat="1" applyFont="1" applyFill="1" applyBorder="1" applyAlignment="1" applyProtection="1">
      <alignment vertical="center" wrapText="1"/>
      <protection hidden="1"/>
    </xf>
    <xf numFmtId="38" fontId="2" fillId="5" borderId="17" xfId="6" applyNumberFormat="1" applyFont="1" applyBorder="1" applyAlignment="1" applyProtection="1">
      <alignment vertical="center" wrapText="1"/>
      <protection hidden="1"/>
    </xf>
    <xf numFmtId="38" fontId="2" fillId="2" borderId="17" xfId="6" applyNumberFormat="1" applyFont="1" applyFill="1" applyBorder="1" applyAlignment="1" applyProtection="1">
      <alignment vertical="center" wrapText="1"/>
      <protection hidden="1"/>
    </xf>
    <xf numFmtId="38" fontId="2" fillId="5" borderId="27" xfId="6" applyNumberFormat="1" applyFont="1" applyBorder="1" applyAlignment="1" applyProtection="1">
      <alignment vertical="center" wrapText="1"/>
      <protection hidden="1"/>
    </xf>
    <xf numFmtId="38" fontId="8" fillId="5" borderId="20" xfId="6" applyNumberFormat="1" applyFont="1" applyBorder="1" applyAlignment="1" applyProtection="1">
      <alignment vertical="center" wrapText="1"/>
      <protection hidden="1"/>
    </xf>
    <xf numFmtId="38" fontId="8" fillId="2" borderId="20" xfId="6" applyNumberFormat="1" applyFont="1" applyFill="1" applyBorder="1" applyAlignment="1" applyProtection="1">
      <alignment vertical="center" wrapText="1"/>
      <protection locked="0"/>
    </xf>
    <xf numFmtId="0" fontId="2" fillId="0" borderId="19" xfId="5" applyNumberFormat="1" applyFont="1" applyFill="1" applyBorder="1" applyAlignment="1" applyProtection="1">
      <alignment vertical="center" wrapText="1"/>
      <protection hidden="1"/>
    </xf>
    <xf numFmtId="38" fontId="8" fillId="2" borderId="24" xfId="6" applyNumberFormat="1" applyFont="1" applyFill="1" applyBorder="1" applyAlignment="1" applyProtection="1">
      <alignment vertical="center" wrapText="1"/>
      <protection locked="0"/>
    </xf>
    <xf numFmtId="38" fontId="2" fillId="5" borderId="24" xfId="6" applyNumberFormat="1" applyFont="1" applyBorder="1" applyAlignment="1" applyProtection="1">
      <alignment vertical="center" wrapText="1"/>
      <protection hidden="1"/>
    </xf>
    <xf numFmtId="38" fontId="8" fillId="5" borderId="24" xfId="6" applyNumberFormat="1" applyFont="1" applyBorder="1" applyAlignment="1" applyProtection="1">
      <alignment vertical="center" wrapText="1"/>
      <protection hidden="1"/>
    </xf>
    <xf numFmtId="38" fontId="7" fillId="6" borderId="28" xfId="7" applyNumberFormat="1" applyFont="1" applyFill="1" applyBorder="1" applyAlignment="1" applyProtection="1">
      <alignment vertical="center" wrapText="1"/>
      <protection hidden="1"/>
    </xf>
    <xf numFmtId="38" fontId="7" fillId="7" borderId="29" xfId="2" applyNumberFormat="1" applyFont="1" applyFill="1" applyBorder="1" applyAlignment="1" applyProtection="1">
      <alignment horizontal="left" vertical="top" wrapText="1"/>
      <protection hidden="1"/>
    </xf>
    <xf numFmtId="38" fontId="8" fillId="6" borderId="26" xfId="7" applyNumberFormat="1" applyFont="1" applyFill="1" applyBorder="1" applyAlignment="1" applyProtection="1">
      <alignment vertical="center" wrapText="1"/>
      <protection hidden="1"/>
    </xf>
    <xf numFmtId="38" fontId="2" fillId="0" borderId="23" xfId="0" applyNumberFormat="1" applyFont="1" applyBorder="1" applyAlignment="1" applyProtection="1">
      <alignment wrapText="1"/>
      <protection hidden="1"/>
    </xf>
    <xf numFmtId="38" fontId="2" fillId="0" borderId="17" xfId="6" applyNumberFormat="1" applyFont="1" applyFill="1" applyBorder="1" applyAlignment="1" applyProtection="1">
      <alignment vertical="center" wrapText="1"/>
      <protection hidden="1"/>
    </xf>
    <xf numFmtId="38" fontId="2" fillId="5" borderId="18" xfId="6" applyNumberFormat="1" applyFont="1" applyBorder="1" applyAlignment="1" applyProtection="1">
      <alignment vertical="center" wrapText="1"/>
      <protection hidden="1"/>
    </xf>
    <xf numFmtId="38" fontId="2" fillId="5" borderId="30" xfId="6" applyNumberFormat="1" applyFont="1" applyBorder="1" applyAlignment="1" applyProtection="1">
      <alignment vertical="center" wrapText="1"/>
      <protection hidden="1"/>
    </xf>
    <xf numFmtId="38" fontId="7" fillId="6" borderId="31" xfId="7" applyNumberFormat="1" applyFont="1" applyFill="1" applyBorder="1" applyAlignment="1" applyProtection="1">
      <alignment vertical="center" wrapText="1"/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5" xfId="0" applyFill="1" applyBorder="1" applyAlignment="1" applyProtection="1">
      <alignment wrapText="1"/>
      <protection hidden="1"/>
    </xf>
    <xf numFmtId="0" fontId="0" fillId="0" borderId="6" xfId="0" applyFill="1" applyBorder="1" applyAlignment="1" applyProtection="1">
      <alignment wrapText="1"/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2" fillId="0" borderId="7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</cellXfs>
  <cellStyles count="8">
    <cellStyle name="amount" xfId="6"/>
    <cellStyle name="header" xfId="1"/>
    <cellStyle name="Header Total_Cash Flow Forecast, 12 Months" xfId="7"/>
    <cellStyle name="Header1" xfId="2"/>
    <cellStyle name="Header2" xfId="4"/>
    <cellStyle name="Header3" xfId="3"/>
    <cellStyle name="Normal" xfId="0" builtinId="0"/>
    <cellStyle name="Normal 2_Cash Flow Forecast, 12 Month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" sqref="G2:L2"/>
    </sheetView>
  </sheetViews>
  <sheetFormatPr defaultRowHeight="12.75" x14ac:dyDescent="0.2"/>
  <cols>
    <col min="1" max="1" width="24.44140625" style="4" customWidth="1"/>
    <col min="2" max="2" width="12.88671875" style="4" customWidth="1"/>
    <col min="3" max="3" width="10.77734375" style="4" customWidth="1"/>
    <col min="4" max="4" width="10.44140625" style="4" customWidth="1"/>
    <col min="5" max="5" width="10.6640625" style="4" customWidth="1"/>
    <col min="6" max="6" width="11" style="4" customWidth="1"/>
    <col min="7" max="7" width="10.44140625" style="4" customWidth="1"/>
    <col min="8" max="8" width="10.88671875" style="4" customWidth="1"/>
    <col min="9" max="9" width="11.21875" style="4" customWidth="1"/>
    <col min="10" max="10" width="11.33203125" style="4" customWidth="1"/>
    <col min="11" max="11" width="10.77734375" style="4" customWidth="1"/>
    <col min="12" max="27" width="10" style="4" customWidth="1"/>
    <col min="28" max="256" width="8.88671875" style="4"/>
    <col min="257" max="257" width="24.44140625" style="4" customWidth="1"/>
    <col min="258" max="258" width="12.88671875" style="4" customWidth="1"/>
    <col min="259" max="259" width="10.77734375" style="4" customWidth="1"/>
    <col min="260" max="260" width="10.44140625" style="4" customWidth="1"/>
    <col min="261" max="261" width="10.6640625" style="4" customWidth="1"/>
    <col min="262" max="262" width="11" style="4" customWidth="1"/>
    <col min="263" max="263" width="10.44140625" style="4" customWidth="1"/>
    <col min="264" max="264" width="10.88671875" style="4" customWidth="1"/>
    <col min="265" max="265" width="11.21875" style="4" customWidth="1"/>
    <col min="266" max="266" width="11.33203125" style="4" customWidth="1"/>
    <col min="267" max="267" width="10.77734375" style="4" customWidth="1"/>
    <col min="268" max="283" width="10" style="4" customWidth="1"/>
    <col min="284" max="512" width="8.88671875" style="4"/>
    <col min="513" max="513" width="24.44140625" style="4" customWidth="1"/>
    <col min="514" max="514" width="12.88671875" style="4" customWidth="1"/>
    <col min="515" max="515" width="10.77734375" style="4" customWidth="1"/>
    <col min="516" max="516" width="10.44140625" style="4" customWidth="1"/>
    <col min="517" max="517" width="10.6640625" style="4" customWidth="1"/>
    <col min="518" max="518" width="11" style="4" customWidth="1"/>
    <col min="519" max="519" width="10.44140625" style="4" customWidth="1"/>
    <col min="520" max="520" width="10.88671875" style="4" customWidth="1"/>
    <col min="521" max="521" width="11.21875" style="4" customWidth="1"/>
    <col min="522" max="522" width="11.33203125" style="4" customWidth="1"/>
    <col min="523" max="523" width="10.77734375" style="4" customWidth="1"/>
    <col min="524" max="539" width="10" style="4" customWidth="1"/>
    <col min="540" max="768" width="8.88671875" style="4"/>
    <col min="769" max="769" width="24.44140625" style="4" customWidth="1"/>
    <col min="770" max="770" width="12.88671875" style="4" customWidth="1"/>
    <col min="771" max="771" width="10.77734375" style="4" customWidth="1"/>
    <col min="772" max="772" width="10.44140625" style="4" customWidth="1"/>
    <col min="773" max="773" width="10.6640625" style="4" customWidth="1"/>
    <col min="774" max="774" width="11" style="4" customWidth="1"/>
    <col min="775" max="775" width="10.44140625" style="4" customWidth="1"/>
    <col min="776" max="776" width="10.88671875" style="4" customWidth="1"/>
    <col min="777" max="777" width="11.21875" style="4" customWidth="1"/>
    <col min="778" max="778" width="11.33203125" style="4" customWidth="1"/>
    <col min="779" max="779" width="10.77734375" style="4" customWidth="1"/>
    <col min="780" max="795" width="10" style="4" customWidth="1"/>
    <col min="796" max="1024" width="8.88671875" style="4"/>
    <col min="1025" max="1025" width="24.44140625" style="4" customWidth="1"/>
    <col min="1026" max="1026" width="12.88671875" style="4" customWidth="1"/>
    <col min="1027" max="1027" width="10.77734375" style="4" customWidth="1"/>
    <col min="1028" max="1028" width="10.44140625" style="4" customWidth="1"/>
    <col min="1029" max="1029" width="10.6640625" style="4" customWidth="1"/>
    <col min="1030" max="1030" width="11" style="4" customWidth="1"/>
    <col min="1031" max="1031" width="10.44140625" style="4" customWidth="1"/>
    <col min="1032" max="1032" width="10.88671875" style="4" customWidth="1"/>
    <col min="1033" max="1033" width="11.21875" style="4" customWidth="1"/>
    <col min="1034" max="1034" width="11.33203125" style="4" customWidth="1"/>
    <col min="1035" max="1035" width="10.77734375" style="4" customWidth="1"/>
    <col min="1036" max="1051" width="10" style="4" customWidth="1"/>
    <col min="1052" max="1280" width="8.88671875" style="4"/>
    <col min="1281" max="1281" width="24.44140625" style="4" customWidth="1"/>
    <col min="1282" max="1282" width="12.88671875" style="4" customWidth="1"/>
    <col min="1283" max="1283" width="10.77734375" style="4" customWidth="1"/>
    <col min="1284" max="1284" width="10.44140625" style="4" customWidth="1"/>
    <col min="1285" max="1285" width="10.6640625" style="4" customWidth="1"/>
    <col min="1286" max="1286" width="11" style="4" customWidth="1"/>
    <col min="1287" max="1287" width="10.44140625" style="4" customWidth="1"/>
    <col min="1288" max="1288" width="10.88671875" style="4" customWidth="1"/>
    <col min="1289" max="1289" width="11.21875" style="4" customWidth="1"/>
    <col min="1290" max="1290" width="11.33203125" style="4" customWidth="1"/>
    <col min="1291" max="1291" width="10.77734375" style="4" customWidth="1"/>
    <col min="1292" max="1307" width="10" style="4" customWidth="1"/>
    <col min="1308" max="1536" width="8.88671875" style="4"/>
    <col min="1537" max="1537" width="24.44140625" style="4" customWidth="1"/>
    <col min="1538" max="1538" width="12.88671875" style="4" customWidth="1"/>
    <col min="1539" max="1539" width="10.77734375" style="4" customWidth="1"/>
    <col min="1540" max="1540" width="10.44140625" style="4" customWidth="1"/>
    <col min="1541" max="1541" width="10.6640625" style="4" customWidth="1"/>
    <col min="1542" max="1542" width="11" style="4" customWidth="1"/>
    <col min="1543" max="1543" width="10.44140625" style="4" customWidth="1"/>
    <col min="1544" max="1544" width="10.88671875" style="4" customWidth="1"/>
    <col min="1545" max="1545" width="11.21875" style="4" customWidth="1"/>
    <col min="1546" max="1546" width="11.33203125" style="4" customWidth="1"/>
    <col min="1547" max="1547" width="10.77734375" style="4" customWidth="1"/>
    <col min="1548" max="1563" width="10" style="4" customWidth="1"/>
    <col min="1564" max="1792" width="8.88671875" style="4"/>
    <col min="1793" max="1793" width="24.44140625" style="4" customWidth="1"/>
    <col min="1794" max="1794" width="12.88671875" style="4" customWidth="1"/>
    <col min="1795" max="1795" width="10.77734375" style="4" customWidth="1"/>
    <col min="1796" max="1796" width="10.44140625" style="4" customWidth="1"/>
    <col min="1797" max="1797" width="10.6640625" style="4" customWidth="1"/>
    <col min="1798" max="1798" width="11" style="4" customWidth="1"/>
    <col min="1799" max="1799" width="10.44140625" style="4" customWidth="1"/>
    <col min="1800" max="1800" width="10.88671875" style="4" customWidth="1"/>
    <col min="1801" max="1801" width="11.21875" style="4" customWidth="1"/>
    <col min="1802" max="1802" width="11.33203125" style="4" customWidth="1"/>
    <col min="1803" max="1803" width="10.77734375" style="4" customWidth="1"/>
    <col min="1804" max="1819" width="10" style="4" customWidth="1"/>
    <col min="1820" max="2048" width="8.88671875" style="4"/>
    <col min="2049" max="2049" width="24.44140625" style="4" customWidth="1"/>
    <col min="2050" max="2050" width="12.88671875" style="4" customWidth="1"/>
    <col min="2051" max="2051" width="10.77734375" style="4" customWidth="1"/>
    <col min="2052" max="2052" width="10.44140625" style="4" customWidth="1"/>
    <col min="2053" max="2053" width="10.6640625" style="4" customWidth="1"/>
    <col min="2054" max="2054" width="11" style="4" customWidth="1"/>
    <col min="2055" max="2055" width="10.44140625" style="4" customWidth="1"/>
    <col min="2056" max="2056" width="10.88671875" style="4" customWidth="1"/>
    <col min="2057" max="2057" width="11.21875" style="4" customWidth="1"/>
    <col min="2058" max="2058" width="11.33203125" style="4" customWidth="1"/>
    <col min="2059" max="2059" width="10.77734375" style="4" customWidth="1"/>
    <col min="2060" max="2075" width="10" style="4" customWidth="1"/>
    <col min="2076" max="2304" width="8.88671875" style="4"/>
    <col min="2305" max="2305" width="24.44140625" style="4" customWidth="1"/>
    <col min="2306" max="2306" width="12.88671875" style="4" customWidth="1"/>
    <col min="2307" max="2307" width="10.77734375" style="4" customWidth="1"/>
    <col min="2308" max="2308" width="10.44140625" style="4" customWidth="1"/>
    <col min="2309" max="2309" width="10.6640625" style="4" customWidth="1"/>
    <col min="2310" max="2310" width="11" style="4" customWidth="1"/>
    <col min="2311" max="2311" width="10.44140625" style="4" customWidth="1"/>
    <col min="2312" max="2312" width="10.88671875" style="4" customWidth="1"/>
    <col min="2313" max="2313" width="11.21875" style="4" customWidth="1"/>
    <col min="2314" max="2314" width="11.33203125" style="4" customWidth="1"/>
    <col min="2315" max="2315" width="10.77734375" style="4" customWidth="1"/>
    <col min="2316" max="2331" width="10" style="4" customWidth="1"/>
    <col min="2332" max="2560" width="8.88671875" style="4"/>
    <col min="2561" max="2561" width="24.44140625" style="4" customWidth="1"/>
    <col min="2562" max="2562" width="12.88671875" style="4" customWidth="1"/>
    <col min="2563" max="2563" width="10.77734375" style="4" customWidth="1"/>
    <col min="2564" max="2564" width="10.44140625" style="4" customWidth="1"/>
    <col min="2565" max="2565" width="10.6640625" style="4" customWidth="1"/>
    <col min="2566" max="2566" width="11" style="4" customWidth="1"/>
    <col min="2567" max="2567" width="10.44140625" style="4" customWidth="1"/>
    <col min="2568" max="2568" width="10.88671875" style="4" customWidth="1"/>
    <col min="2569" max="2569" width="11.21875" style="4" customWidth="1"/>
    <col min="2570" max="2570" width="11.33203125" style="4" customWidth="1"/>
    <col min="2571" max="2571" width="10.77734375" style="4" customWidth="1"/>
    <col min="2572" max="2587" width="10" style="4" customWidth="1"/>
    <col min="2588" max="2816" width="8.88671875" style="4"/>
    <col min="2817" max="2817" width="24.44140625" style="4" customWidth="1"/>
    <col min="2818" max="2818" width="12.88671875" style="4" customWidth="1"/>
    <col min="2819" max="2819" width="10.77734375" style="4" customWidth="1"/>
    <col min="2820" max="2820" width="10.44140625" style="4" customWidth="1"/>
    <col min="2821" max="2821" width="10.6640625" style="4" customWidth="1"/>
    <col min="2822" max="2822" width="11" style="4" customWidth="1"/>
    <col min="2823" max="2823" width="10.44140625" style="4" customWidth="1"/>
    <col min="2824" max="2824" width="10.88671875" style="4" customWidth="1"/>
    <col min="2825" max="2825" width="11.21875" style="4" customWidth="1"/>
    <col min="2826" max="2826" width="11.33203125" style="4" customWidth="1"/>
    <col min="2827" max="2827" width="10.77734375" style="4" customWidth="1"/>
    <col min="2828" max="2843" width="10" style="4" customWidth="1"/>
    <col min="2844" max="3072" width="8.88671875" style="4"/>
    <col min="3073" max="3073" width="24.44140625" style="4" customWidth="1"/>
    <col min="3074" max="3074" width="12.88671875" style="4" customWidth="1"/>
    <col min="3075" max="3075" width="10.77734375" style="4" customWidth="1"/>
    <col min="3076" max="3076" width="10.44140625" style="4" customWidth="1"/>
    <col min="3077" max="3077" width="10.6640625" style="4" customWidth="1"/>
    <col min="3078" max="3078" width="11" style="4" customWidth="1"/>
    <col min="3079" max="3079" width="10.44140625" style="4" customWidth="1"/>
    <col min="3080" max="3080" width="10.88671875" style="4" customWidth="1"/>
    <col min="3081" max="3081" width="11.21875" style="4" customWidth="1"/>
    <col min="3082" max="3082" width="11.33203125" style="4" customWidth="1"/>
    <col min="3083" max="3083" width="10.77734375" style="4" customWidth="1"/>
    <col min="3084" max="3099" width="10" style="4" customWidth="1"/>
    <col min="3100" max="3328" width="8.88671875" style="4"/>
    <col min="3329" max="3329" width="24.44140625" style="4" customWidth="1"/>
    <col min="3330" max="3330" width="12.88671875" style="4" customWidth="1"/>
    <col min="3331" max="3331" width="10.77734375" style="4" customWidth="1"/>
    <col min="3332" max="3332" width="10.44140625" style="4" customWidth="1"/>
    <col min="3333" max="3333" width="10.6640625" style="4" customWidth="1"/>
    <col min="3334" max="3334" width="11" style="4" customWidth="1"/>
    <col min="3335" max="3335" width="10.44140625" style="4" customWidth="1"/>
    <col min="3336" max="3336" width="10.88671875" style="4" customWidth="1"/>
    <col min="3337" max="3337" width="11.21875" style="4" customWidth="1"/>
    <col min="3338" max="3338" width="11.33203125" style="4" customWidth="1"/>
    <col min="3339" max="3339" width="10.77734375" style="4" customWidth="1"/>
    <col min="3340" max="3355" width="10" style="4" customWidth="1"/>
    <col min="3356" max="3584" width="8.88671875" style="4"/>
    <col min="3585" max="3585" width="24.44140625" style="4" customWidth="1"/>
    <col min="3586" max="3586" width="12.88671875" style="4" customWidth="1"/>
    <col min="3587" max="3587" width="10.77734375" style="4" customWidth="1"/>
    <col min="3588" max="3588" width="10.44140625" style="4" customWidth="1"/>
    <col min="3589" max="3589" width="10.6640625" style="4" customWidth="1"/>
    <col min="3590" max="3590" width="11" style="4" customWidth="1"/>
    <col min="3591" max="3591" width="10.44140625" style="4" customWidth="1"/>
    <col min="3592" max="3592" width="10.88671875" style="4" customWidth="1"/>
    <col min="3593" max="3593" width="11.21875" style="4" customWidth="1"/>
    <col min="3594" max="3594" width="11.33203125" style="4" customWidth="1"/>
    <col min="3595" max="3595" width="10.77734375" style="4" customWidth="1"/>
    <col min="3596" max="3611" width="10" style="4" customWidth="1"/>
    <col min="3612" max="3840" width="8.88671875" style="4"/>
    <col min="3841" max="3841" width="24.44140625" style="4" customWidth="1"/>
    <col min="3842" max="3842" width="12.88671875" style="4" customWidth="1"/>
    <col min="3843" max="3843" width="10.77734375" style="4" customWidth="1"/>
    <col min="3844" max="3844" width="10.44140625" style="4" customWidth="1"/>
    <col min="3845" max="3845" width="10.6640625" style="4" customWidth="1"/>
    <col min="3846" max="3846" width="11" style="4" customWidth="1"/>
    <col min="3847" max="3847" width="10.44140625" style="4" customWidth="1"/>
    <col min="3848" max="3848" width="10.88671875" style="4" customWidth="1"/>
    <col min="3849" max="3849" width="11.21875" style="4" customWidth="1"/>
    <col min="3850" max="3850" width="11.33203125" style="4" customWidth="1"/>
    <col min="3851" max="3851" width="10.77734375" style="4" customWidth="1"/>
    <col min="3852" max="3867" width="10" style="4" customWidth="1"/>
    <col min="3868" max="4096" width="8.88671875" style="4"/>
    <col min="4097" max="4097" width="24.44140625" style="4" customWidth="1"/>
    <col min="4098" max="4098" width="12.88671875" style="4" customWidth="1"/>
    <col min="4099" max="4099" width="10.77734375" style="4" customWidth="1"/>
    <col min="4100" max="4100" width="10.44140625" style="4" customWidth="1"/>
    <col min="4101" max="4101" width="10.6640625" style="4" customWidth="1"/>
    <col min="4102" max="4102" width="11" style="4" customWidth="1"/>
    <col min="4103" max="4103" width="10.44140625" style="4" customWidth="1"/>
    <col min="4104" max="4104" width="10.88671875" style="4" customWidth="1"/>
    <col min="4105" max="4105" width="11.21875" style="4" customWidth="1"/>
    <col min="4106" max="4106" width="11.33203125" style="4" customWidth="1"/>
    <col min="4107" max="4107" width="10.77734375" style="4" customWidth="1"/>
    <col min="4108" max="4123" width="10" style="4" customWidth="1"/>
    <col min="4124" max="4352" width="8.88671875" style="4"/>
    <col min="4353" max="4353" width="24.44140625" style="4" customWidth="1"/>
    <col min="4354" max="4354" width="12.88671875" style="4" customWidth="1"/>
    <col min="4355" max="4355" width="10.77734375" style="4" customWidth="1"/>
    <col min="4356" max="4356" width="10.44140625" style="4" customWidth="1"/>
    <col min="4357" max="4357" width="10.6640625" style="4" customWidth="1"/>
    <col min="4358" max="4358" width="11" style="4" customWidth="1"/>
    <col min="4359" max="4359" width="10.44140625" style="4" customWidth="1"/>
    <col min="4360" max="4360" width="10.88671875" style="4" customWidth="1"/>
    <col min="4361" max="4361" width="11.21875" style="4" customWidth="1"/>
    <col min="4362" max="4362" width="11.33203125" style="4" customWidth="1"/>
    <col min="4363" max="4363" width="10.77734375" style="4" customWidth="1"/>
    <col min="4364" max="4379" width="10" style="4" customWidth="1"/>
    <col min="4380" max="4608" width="8.88671875" style="4"/>
    <col min="4609" max="4609" width="24.44140625" style="4" customWidth="1"/>
    <col min="4610" max="4610" width="12.88671875" style="4" customWidth="1"/>
    <col min="4611" max="4611" width="10.77734375" style="4" customWidth="1"/>
    <col min="4612" max="4612" width="10.44140625" style="4" customWidth="1"/>
    <col min="4613" max="4613" width="10.6640625" style="4" customWidth="1"/>
    <col min="4614" max="4614" width="11" style="4" customWidth="1"/>
    <col min="4615" max="4615" width="10.44140625" style="4" customWidth="1"/>
    <col min="4616" max="4616" width="10.88671875" style="4" customWidth="1"/>
    <col min="4617" max="4617" width="11.21875" style="4" customWidth="1"/>
    <col min="4618" max="4618" width="11.33203125" style="4" customWidth="1"/>
    <col min="4619" max="4619" width="10.77734375" style="4" customWidth="1"/>
    <col min="4620" max="4635" width="10" style="4" customWidth="1"/>
    <col min="4636" max="4864" width="8.88671875" style="4"/>
    <col min="4865" max="4865" width="24.44140625" style="4" customWidth="1"/>
    <col min="4866" max="4866" width="12.88671875" style="4" customWidth="1"/>
    <col min="4867" max="4867" width="10.77734375" style="4" customWidth="1"/>
    <col min="4868" max="4868" width="10.44140625" style="4" customWidth="1"/>
    <col min="4869" max="4869" width="10.6640625" style="4" customWidth="1"/>
    <col min="4870" max="4870" width="11" style="4" customWidth="1"/>
    <col min="4871" max="4871" width="10.44140625" style="4" customWidth="1"/>
    <col min="4872" max="4872" width="10.88671875" style="4" customWidth="1"/>
    <col min="4873" max="4873" width="11.21875" style="4" customWidth="1"/>
    <col min="4874" max="4874" width="11.33203125" style="4" customWidth="1"/>
    <col min="4875" max="4875" width="10.77734375" style="4" customWidth="1"/>
    <col min="4876" max="4891" width="10" style="4" customWidth="1"/>
    <col min="4892" max="5120" width="8.88671875" style="4"/>
    <col min="5121" max="5121" width="24.44140625" style="4" customWidth="1"/>
    <col min="5122" max="5122" width="12.88671875" style="4" customWidth="1"/>
    <col min="5123" max="5123" width="10.77734375" style="4" customWidth="1"/>
    <col min="5124" max="5124" width="10.44140625" style="4" customWidth="1"/>
    <col min="5125" max="5125" width="10.6640625" style="4" customWidth="1"/>
    <col min="5126" max="5126" width="11" style="4" customWidth="1"/>
    <col min="5127" max="5127" width="10.44140625" style="4" customWidth="1"/>
    <col min="5128" max="5128" width="10.88671875" style="4" customWidth="1"/>
    <col min="5129" max="5129" width="11.21875" style="4" customWidth="1"/>
    <col min="5130" max="5130" width="11.33203125" style="4" customWidth="1"/>
    <col min="5131" max="5131" width="10.77734375" style="4" customWidth="1"/>
    <col min="5132" max="5147" width="10" style="4" customWidth="1"/>
    <col min="5148" max="5376" width="8.88671875" style="4"/>
    <col min="5377" max="5377" width="24.44140625" style="4" customWidth="1"/>
    <col min="5378" max="5378" width="12.88671875" style="4" customWidth="1"/>
    <col min="5379" max="5379" width="10.77734375" style="4" customWidth="1"/>
    <col min="5380" max="5380" width="10.44140625" style="4" customWidth="1"/>
    <col min="5381" max="5381" width="10.6640625" style="4" customWidth="1"/>
    <col min="5382" max="5382" width="11" style="4" customWidth="1"/>
    <col min="5383" max="5383" width="10.44140625" style="4" customWidth="1"/>
    <col min="5384" max="5384" width="10.88671875" style="4" customWidth="1"/>
    <col min="5385" max="5385" width="11.21875" style="4" customWidth="1"/>
    <col min="5386" max="5386" width="11.33203125" style="4" customWidth="1"/>
    <col min="5387" max="5387" width="10.77734375" style="4" customWidth="1"/>
    <col min="5388" max="5403" width="10" style="4" customWidth="1"/>
    <col min="5404" max="5632" width="8.88671875" style="4"/>
    <col min="5633" max="5633" width="24.44140625" style="4" customWidth="1"/>
    <col min="5634" max="5634" width="12.88671875" style="4" customWidth="1"/>
    <col min="5635" max="5635" width="10.77734375" style="4" customWidth="1"/>
    <col min="5636" max="5636" width="10.44140625" style="4" customWidth="1"/>
    <col min="5637" max="5637" width="10.6640625" style="4" customWidth="1"/>
    <col min="5638" max="5638" width="11" style="4" customWidth="1"/>
    <col min="5639" max="5639" width="10.44140625" style="4" customWidth="1"/>
    <col min="5640" max="5640" width="10.88671875" style="4" customWidth="1"/>
    <col min="5641" max="5641" width="11.21875" style="4" customWidth="1"/>
    <col min="5642" max="5642" width="11.33203125" style="4" customWidth="1"/>
    <col min="5643" max="5643" width="10.77734375" style="4" customWidth="1"/>
    <col min="5644" max="5659" width="10" style="4" customWidth="1"/>
    <col min="5660" max="5888" width="8.88671875" style="4"/>
    <col min="5889" max="5889" width="24.44140625" style="4" customWidth="1"/>
    <col min="5890" max="5890" width="12.88671875" style="4" customWidth="1"/>
    <col min="5891" max="5891" width="10.77734375" style="4" customWidth="1"/>
    <col min="5892" max="5892" width="10.44140625" style="4" customWidth="1"/>
    <col min="5893" max="5893" width="10.6640625" style="4" customWidth="1"/>
    <col min="5894" max="5894" width="11" style="4" customWidth="1"/>
    <col min="5895" max="5895" width="10.44140625" style="4" customWidth="1"/>
    <col min="5896" max="5896" width="10.88671875" style="4" customWidth="1"/>
    <col min="5897" max="5897" width="11.21875" style="4" customWidth="1"/>
    <col min="5898" max="5898" width="11.33203125" style="4" customWidth="1"/>
    <col min="5899" max="5899" width="10.77734375" style="4" customWidth="1"/>
    <col min="5900" max="5915" width="10" style="4" customWidth="1"/>
    <col min="5916" max="6144" width="8.88671875" style="4"/>
    <col min="6145" max="6145" width="24.44140625" style="4" customWidth="1"/>
    <col min="6146" max="6146" width="12.88671875" style="4" customWidth="1"/>
    <col min="6147" max="6147" width="10.77734375" style="4" customWidth="1"/>
    <col min="6148" max="6148" width="10.44140625" style="4" customWidth="1"/>
    <col min="6149" max="6149" width="10.6640625" style="4" customWidth="1"/>
    <col min="6150" max="6150" width="11" style="4" customWidth="1"/>
    <col min="6151" max="6151" width="10.44140625" style="4" customWidth="1"/>
    <col min="6152" max="6152" width="10.88671875" style="4" customWidth="1"/>
    <col min="6153" max="6153" width="11.21875" style="4" customWidth="1"/>
    <col min="6154" max="6154" width="11.33203125" style="4" customWidth="1"/>
    <col min="6155" max="6155" width="10.77734375" style="4" customWidth="1"/>
    <col min="6156" max="6171" width="10" style="4" customWidth="1"/>
    <col min="6172" max="6400" width="8.88671875" style="4"/>
    <col min="6401" max="6401" width="24.44140625" style="4" customWidth="1"/>
    <col min="6402" max="6402" width="12.88671875" style="4" customWidth="1"/>
    <col min="6403" max="6403" width="10.77734375" style="4" customWidth="1"/>
    <col min="6404" max="6404" width="10.44140625" style="4" customWidth="1"/>
    <col min="6405" max="6405" width="10.6640625" style="4" customWidth="1"/>
    <col min="6406" max="6406" width="11" style="4" customWidth="1"/>
    <col min="6407" max="6407" width="10.44140625" style="4" customWidth="1"/>
    <col min="6408" max="6408" width="10.88671875" style="4" customWidth="1"/>
    <col min="6409" max="6409" width="11.21875" style="4" customWidth="1"/>
    <col min="6410" max="6410" width="11.33203125" style="4" customWidth="1"/>
    <col min="6411" max="6411" width="10.77734375" style="4" customWidth="1"/>
    <col min="6412" max="6427" width="10" style="4" customWidth="1"/>
    <col min="6428" max="6656" width="8.88671875" style="4"/>
    <col min="6657" max="6657" width="24.44140625" style="4" customWidth="1"/>
    <col min="6658" max="6658" width="12.88671875" style="4" customWidth="1"/>
    <col min="6659" max="6659" width="10.77734375" style="4" customWidth="1"/>
    <col min="6660" max="6660" width="10.44140625" style="4" customWidth="1"/>
    <col min="6661" max="6661" width="10.6640625" style="4" customWidth="1"/>
    <col min="6662" max="6662" width="11" style="4" customWidth="1"/>
    <col min="6663" max="6663" width="10.44140625" style="4" customWidth="1"/>
    <col min="6664" max="6664" width="10.88671875" style="4" customWidth="1"/>
    <col min="6665" max="6665" width="11.21875" style="4" customWidth="1"/>
    <col min="6666" max="6666" width="11.33203125" style="4" customWidth="1"/>
    <col min="6667" max="6667" width="10.77734375" style="4" customWidth="1"/>
    <col min="6668" max="6683" width="10" style="4" customWidth="1"/>
    <col min="6684" max="6912" width="8.88671875" style="4"/>
    <col min="6913" max="6913" width="24.44140625" style="4" customWidth="1"/>
    <col min="6914" max="6914" width="12.88671875" style="4" customWidth="1"/>
    <col min="6915" max="6915" width="10.77734375" style="4" customWidth="1"/>
    <col min="6916" max="6916" width="10.44140625" style="4" customWidth="1"/>
    <col min="6917" max="6917" width="10.6640625" style="4" customWidth="1"/>
    <col min="6918" max="6918" width="11" style="4" customWidth="1"/>
    <col min="6919" max="6919" width="10.44140625" style="4" customWidth="1"/>
    <col min="6920" max="6920" width="10.88671875" style="4" customWidth="1"/>
    <col min="6921" max="6921" width="11.21875" style="4" customWidth="1"/>
    <col min="6922" max="6922" width="11.33203125" style="4" customWidth="1"/>
    <col min="6923" max="6923" width="10.77734375" style="4" customWidth="1"/>
    <col min="6924" max="6939" width="10" style="4" customWidth="1"/>
    <col min="6940" max="7168" width="8.88671875" style="4"/>
    <col min="7169" max="7169" width="24.44140625" style="4" customWidth="1"/>
    <col min="7170" max="7170" width="12.88671875" style="4" customWidth="1"/>
    <col min="7171" max="7171" width="10.77734375" style="4" customWidth="1"/>
    <col min="7172" max="7172" width="10.44140625" style="4" customWidth="1"/>
    <col min="7173" max="7173" width="10.6640625" style="4" customWidth="1"/>
    <col min="7174" max="7174" width="11" style="4" customWidth="1"/>
    <col min="7175" max="7175" width="10.44140625" style="4" customWidth="1"/>
    <col min="7176" max="7176" width="10.88671875" style="4" customWidth="1"/>
    <col min="7177" max="7177" width="11.21875" style="4" customWidth="1"/>
    <col min="7178" max="7178" width="11.33203125" style="4" customWidth="1"/>
    <col min="7179" max="7179" width="10.77734375" style="4" customWidth="1"/>
    <col min="7180" max="7195" width="10" style="4" customWidth="1"/>
    <col min="7196" max="7424" width="8.88671875" style="4"/>
    <col min="7425" max="7425" width="24.44140625" style="4" customWidth="1"/>
    <col min="7426" max="7426" width="12.88671875" style="4" customWidth="1"/>
    <col min="7427" max="7427" width="10.77734375" style="4" customWidth="1"/>
    <col min="7428" max="7428" width="10.44140625" style="4" customWidth="1"/>
    <col min="7429" max="7429" width="10.6640625" style="4" customWidth="1"/>
    <col min="7430" max="7430" width="11" style="4" customWidth="1"/>
    <col min="7431" max="7431" width="10.44140625" style="4" customWidth="1"/>
    <col min="7432" max="7432" width="10.88671875" style="4" customWidth="1"/>
    <col min="7433" max="7433" width="11.21875" style="4" customWidth="1"/>
    <col min="7434" max="7434" width="11.33203125" style="4" customWidth="1"/>
    <col min="7435" max="7435" width="10.77734375" style="4" customWidth="1"/>
    <col min="7436" max="7451" width="10" style="4" customWidth="1"/>
    <col min="7452" max="7680" width="8.88671875" style="4"/>
    <col min="7681" max="7681" width="24.44140625" style="4" customWidth="1"/>
    <col min="7682" max="7682" width="12.88671875" style="4" customWidth="1"/>
    <col min="7683" max="7683" width="10.77734375" style="4" customWidth="1"/>
    <col min="7684" max="7684" width="10.44140625" style="4" customWidth="1"/>
    <col min="7685" max="7685" width="10.6640625" style="4" customWidth="1"/>
    <col min="7686" max="7686" width="11" style="4" customWidth="1"/>
    <col min="7687" max="7687" width="10.44140625" style="4" customWidth="1"/>
    <col min="7688" max="7688" width="10.88671875" style="4" customWidth="1"/>
    <col min="7689" max="7689" width="11.21875" style="4" customWidth="1"/>
    <col min="7690" max="7690" width="11.33203125" style="4" customWidth="1"/>
    <col min="7691" max="7691" width="10.77734375" style="4" customWidth="1"/>
    <col min="7692" max="7707" width="10" style="4" customWidth="1"/>
    <col min="7708" max="7936" width="8.88671875" style="4"/>
    <col min="7937" max="7937" width="24.44140625" style="4" customWidth="1"/>
    <col min="7938" max="7938" width="12.88671875" style="4" customWidth="1"/>
    <col min="7939" max="7939" width="10.77734375" style="4" customWidth="1"/>
    <col min="7940" max="7940" width="10.44140625" style="4" customWidth="1"/>
    <col min="7941" max="7941" width="10.6640625" style="4" customWidth="1"/>
    <col min="7942" max="7942" width="11" style="4" customWidth="1"/>
    <col min="7943" max="7943" width="10.44140625" style="4" customWidth="1"/>
    <col min="7944" max="7944" width="10.88671875" style="4" customWidth="1"/>
    <col min="7945" max="7945" width="11.21875" style="4" customWidth="1"/>
    <col min="7946" max="7946" width="11.33203125" style="4" customWidth="1"/>
    <col min="7947" max="7947" width="10.77734375" style="4" customWidth="1"/>
    <col min="7948" max="7963" width="10" style="4" customWidth="1"/>
    <col min="7964" max="8192" width="8.88671875" style="4"/>
    <col min="8193" max="8193" width="24.44140625" style="4" customWidth="1"/>
    <col min="8194" max="8194" width="12.88671875" style="4" customWidth="1"/>
    <col min="8195" max="8195" width="10.77734375" style="4" customWidth="1"/>
    <col min="8196" max="8196" width="10.44140625" style="4" customWidth="1"/>
    <col min="8197" max="8197" width="10.6640625" style="4" customWidth="1"/>
    <col min="8198" max="8198" width="11" style="4" customWidth="1"/>
    <col min="8199" max="8199" width="10.44140625" style="4" customWidth="1"/>
    <col min="8200" max="8200" width="10.88671875" style="4" customWidth="1"/>
    <col min="8201" max="8201" width="11.21875" style="4" customWidth="1"/>
    <col min="8202" max="8202" width="11.33203125" style="4" customWidth="1"/>
    <col min="8203" max="8203" width="10.77734375" style="4" customWidth="1"/>
    <col min="8204" max="8219" width="10" style="4" customWidth="1"/>
    <col min="8220" max="8448" width="8.88671875" style="4"/>
    <col min="8449" max="8449" width="24.44140625" style="4" customWidth="1"/>
    <col min="8450" max="8450" width="12.88671875" style="4" customWidth="1"/>
    <col min="8451" max="8451" width="10.77734375" style="4" customWidth="1"/>
    <col min="8452" max="8452" width="10.44140625" style="4" customWidth="1"/>
    <col min="8453" max="8453" width="10.6640625" style="4" customWidth="1"/>
    <col min="8454" max="8454" width="11" style="4" customWidth="1"/>
    <col min="8455" max="8455" width="10.44140625" style="4" customWidth="1"/>
    <col min="8456" max="8456" width="10.88671875" style="4" customWidth="1"/>
    <col min="8457" max="8457" width="11.21875" style="4" customWidth="1"/>
    <col min="8458" max="8458" width="11.33203125" style="4" customWidth="1"/>
    <col min="8459" max="8459" width="10.77734375" style="4" customWidth="1"/>
    <col min="8460" max="8475" width="10" style="4" customWidth="1"/>
    <col min="8476" max="8704" width="8.88671875" style="4"/>
    <col min="8705" max="8705" width="24.44140625" style="4" customWidth="1"/>
    <col min="8706" max="8706" width="12.88671875" style="4" customWidth="1"/>
    <col min="8707" max="8707" width="10.77734375" style="4" customWidth="1"/>
    <col min="8708" max="8708" width="10.44140625" style="4" customWidth="1"/>
    <col min="8709" max="8709" width="10.6640625" style="4" customWidth="1"/>
    <col min="8710" max="8710" width="11" style="4" customWidth="1"/>
    <col min="8711" max="8711" width="10.44140625" style="4" customWidth="1"/>
    <col min="8712" max="8712" width="10.88671875" style="4" customWidth="1"/>
    <col min="8713" max="8713" width="11.21875" style="4" customWidth="1"/>
    <col min="8714" max="8714" width="11.33203125" style="4" customWidth="1"/>
    <col min="8715" max="8715" width="10.77734375" style="4" customWidth="1"/>
    <col min="8716" max="8731" width="10" style="4" customWidth="1"/>
    <col min="8732" max="8960" width="8.88671875" style="4"/>
    <col min="8961" max="8961" width="24.44140625" style="4" customWidth="1"/>
    <col min="8962" max="8962" width="12.88671875" style="4" customWidth="1"/>
    <col min="8963" max="8963" width="10.77734375" style="4" customWidth="1"/>
    <col min="8964" max="8964" width="10.44140625" style="4" customWidth="1"/>
    <col min="8965" max="8965" width="10.6640625" style="4" customWidth="1"/>
    <col min="8966" max="8966" width="11" style="4" customWidth="1"/>
    <col min="8967" max="8967" width="10.44140625" style="4" customWidth="1"/>
    <col min="8968" max="8968" width="10.88671875" style="4" customWidth="1"/>
    <col min="8969" max="8969" width="11.21875" style="4" customWidth="1"/>
    <col min="8970" max="8970" width="11.33203125" style="4" customWidth="1"/>
    <col min="8971" max="8971" width="10.77734375" style="4" customWidth="1"/>
    <col min="8972" max="8987" width="10" style="4" customWidth="1"/>
    <col min="8988" max="9216" width="8.88671875" style="4"/>
    <col min="9217" max="9217" width="24.44140625" style="4" customWidth="1"/>
    <col min="9218" max="9218" width="12.88671875" style="4" customWidth="1"/>
    <col min="9219" max="9219" width="10.77734375" style="4" customWidth="1"/>
    <col min="9220" max="9220" width="10.44140625" style="4" customWidth="1"/>
    <col min="9221" max="9221" width="10.6640625" style="4" customWidth="1"/>
    <col min="9222" max="9222" width="11" style="4" customWidth="1"/>
    <col min="9223" max="9223" width="10.44140625" style="4" customWidth="1"/>
    <col min="9224" max="9224" width="10.88671875" style="4" customWidth="1"/>
    <col min="9225" max="9225" width="11.21875" style="4" customWidth="1"/>
    <col min="9226" max="9226" width="11.33203125" style="4" customWidth="1"/>
    <col min="9227" max="9227" width="10.77734375" style="4" customWidth="1"/>
    <col min="9228" max="9243" width="10" style="4" customWidth="1"/>
    <col min="9244" max="9472" width="8.88671875" style="4"/>
    <col min="9473" max="9473" width="24.44140625" style="4" customWidth="1"/>
    <col min="9474" max="9474" width="12.88671875" style="4" customWidth="1"/>
    <col min="9475" max="9475" width="10.77734375" style="4" customWidth="1"/>
    <col min="9476" max="9476" width="10.44140625" style="4" customWidth="1"/>
    <col min="9477" max="9477" width="10.6640625" style="4" customWidth="1"/>
    <col min="9478" max="9478" width="11" style="4" customWidth="1"/>
    <col min="9479" max="9479" width="10.44140625" style="4" customWidth="1"/>
    <col min="9480" max="9480" width="10.88671875" style="4" customWidth="1"/>
    <col min="9481" max="9481" width="11.21875" style="4" customWidth="1"/>
    <col min="9482" max="9482" width="11.33203125" style="4" customWidth="1"/>
    <col min="9483" max="9483" width="10.77734375" style="4" customWidth="1"/>
    <col min="9484" max="9499" width="10" style="4" customWidth="1"/>
    <col min="9500" max="9728" width="8.88671875" style="4"/>
    <col min="9729" max="9729" width="24.44140625" style="4" customWidth="1"/>
    <col min="9730" max="9730" width="12.88671875" style="4" customWidth="1"/>
    <col min="9731" max="9731" width="10.77734375" style="4" customWidth="1"/>
    <col min="9732" max="9732" width="10.44140625" style="4" customWidth="1"/>
    <col min="9733" max="9733" width="10.6640625" style="4" customWidth="1"/>
    <col min="9734" max="9734" width="11" style="4" customWidth="1"/>
    <col min="9735" max="9735" width="10.44140625" style="4" customWidth="1"/>
    <col min="9736" max="9736" width="10.88671875" style="4" customWidth="1"/>
    <col min="9737" max="9737" width="11.21875" style="4" customWidth="1"/>
    <col min="9738" max="9738" width="11.33203125" style="4" customWidth="1"/>
    <col min="9739" max="9739" width="10.77734375" style="4" customWidth="1"/>
    <col min="9740" max="9755" width="10" style="4" customWidth="1"/>
    <col min="9756" max="9984" width="8.88671875" style="4"/>
    <col min="9985" max="9985" width="24.44140625" style="4" customWidth="1"/>
    <col min="9986" max="9986" width="12.88671875" style="4" customWidth="1"/>
    <col min="9987" max="9987" width="10.77734375" style="4" customWidth="1"/>
    <col min="9988" max="9988" width="10.44140625" style="4" customWidth="1"/>
    <col min="9989" max="9989" width="10.6640625" style="4" customWidth="1"/>
    <col min="9990" max="9990" width="11" style="4" customWidth="1"/>
    <col min="9991" max="9991" width="10.44140625" style="4" customWidth="1"/>
    <col min="9992" max="9992" width="10.88671875" style="4" customWidth="1"/>
    <col min="9993" max="9993" width="11.21875" style="4" customWidth="1"/>
    <col min="9994" max="9994" width="11.33203125" style="4" customWidth="1"/>
    <col min="9995" max="9995" width="10.77734375" style="4" customWidth="1"/>
    <col min="9996" max="10011" width="10" style="4" customWidth="1"/>
    <col min="10012" max="10240" width="8.88671875" style="4"/>
    <col min="10241" max="10241" width="24.44140625" style="4" customWidth="1"/>
    <col min="10242" max="10242" width="12.88671875" style="4" customWidth="1"/>
    <col min="10243" max="10243" width="10.77734375" style="4" customWidth="1"/>
    <col min="10244" max="10244" width="10.44140625" style="4" customWidth="1"/>
    <col min="10245" max="10245" width="10.6640625" style="4" customWidth="1"/>
    <col min="10246" max="10246" width="11" style="4" customWidth="1"/>
    <col min="10247" max="10247" width="10.44140625" style="4" customWidth="1"/>
    <col min="10248" max="10248" width="10.88671875" style="4" customWidth="1"/>
    <col min="10249" max="10249" width="11.21875" style="4" customWidth="1"/>
    <col min="10250" max="10250" width="11.33203125" style="4" customWidth="1"/>
    <col min="10251" max="10251" width="10.77734375" style="4" customWidth="1"/>
    <col min="10252" max="10267" width="10" style="4" customWidth="1"/>
    <col min="10268" max="10496" width="8.88671875" style="4"/>
    <col min="10497" max="10497" width="24.44140625" style="4" customWidth="1"/>
    <col min="10498" max="10498" width="12.88671875" style="4" customWidth="1"/>
    <col min="10499" max="10499" width="10.77734375" style="4" customWidth="1"/>
    <col min="10500" max="10500" width="10.44140625" style="4" customWidth="1"/>
    <col min="10501" max="10501" width="10.6640625" style="4" customWidth="1"/>
    <col min="10502" max="10502" width="11" style="4" customWidth="1"/>
    <col min="10503" max="10503" width="10.44140625" style="4" customWidth="1"/>
    <col min="10504" max="10504" width="10.88671875" style="4" customWidth="1"/>
    <col min="10505" max="10505" width="11.21875" style="4" customWidth="1"/>
    <col min="10506" max="10506" width="11.33203125" style="4" customWidth="1"/>
    <col min="10507" max="10507" width="10.77734375" style="4" customWidth="1"/>
    <col min="10508" max="10523" width="10" style="4" customWidth="1"/>
    <col min="10524" max="10752" width="8.88671875" style="4"/>
    <col min="10753" max="10753" width="24.44140625" style="4" customWidth="1"/>
    <col min="10754" max="10754" width="12.88671875" style="4" customWidth="1"/>
    <col min="10755" max="10755" width="10.77734375" style="4" customWidth="1"/>
    <col min="10756" max="10756" width="10.44140625" style="4" customWidth="1"/>
    <col min="10757" max="10757" width="10.6640625" style="4" customWidth="1"/>
    <col min="10758" max="10758" width="11" style="4" customWidth="1"/>
    <col min="10759" max="10759" width="10.44140625" style="4" customWidth="1"/>
    <col min="10760" max="10760" width="10.88671875" style="4" customWidth="1"/>
    <col min="10761" max="10761" width="11.21875" style="4" customWidth="1"/>
    <col min="10762" max="10762" width="11.33203125" style="4" customWidth="1"/>
    <col min="10763" max="10763" width="10.77734375" style="4" customWidth="1"/>
    <col min="10764" max="10779" width="10" style="4" customWidth="1"/>
    <col min="10780" max="11008" width="8.88671875" style="4"/>
    <col min="11009" max="11009" width="24.44140625" style="4" customWidth="1"/>
    <col min="11010" max="11010" width="12.88671875" style="4" customWidth="1"/>
    <col min="11011" max="11011" width="10.77734375" style="4" customWidth="1"/>
    <col min="11012" max="11012" width="10.44140625" style="4" customWidth="1"/>
    <col min="11013" max="11013" width="10.6640625" style="4" customWidth="1"/>
    <col min="11014" max="11014" width="11" style="4" customWidth="1"/>
    <col min="11015" max="11015" width="10.44140625" style="4" customWidth="1"/>
    <col min="11016" max="11016" width="10.88671875" style="4" customWidth="1"/>
    <col min="11017" max="11017" width="11.21875" style="4" customWidth="1"/>
    <col min="11018" max="11018" width="11.33203125" style="4" customWidth="1"/>
    <col min="11019" max="11019" width="10.77734375" style="4" customWidth="1"/>
    <col min="11020" max="11035" width="10" style="4" customWidth="1"/>
    <col min="11036" max="11264" width="8.88671875" style="4"/>
    <col min="11265" max="11265" width="24.44140625" style="4" customWidth="1"/>
    <col min="11266" max="11266" width="12.88671875" style="4" customWidth="1"/>
    <col min="11267" max="11267" width="10.77734375" style="4" customWidth="1"/>
    <col min="11268" max="11268" width="10.44140625" style="4" customWidth="1"/>
    <col min="11269" max="11269" width="10.6640625" style="4" customWidth="1"/>
    <col min="11270" max="11270" width="11" style="4" customWidth="1"/>
    <col min="11271" max="11271" width="10.44140625" style="4" customWidth="1"/>
    <col min="11272" max="11272" width="10.88671875" style="4" customWidth="1"/>
    <col min="11273" max="11273" width="11.21875" style="4" customWidth="1"/>
    <col min="11274" max="11274" width="11.33203125" style="4" customWidth="1"/>
    <col min="11275" max="11275" width="10.77734375" style="4" customWidth="1"/>
    <col min="11276" max="11291" width="10" style="4" customWidth="1"/>
    <col min="11292" max="11520" width="8.88671875" style="4"/>
    <col min="11521" max="11521" width="24.44140625" style="4" customWidth="1"/>
    <col min="11522" max="11522" width="12.88671875" style="4" customWidth="1"/>
    <col min="11523" max="11523" width="10.77734375" style="4" customWidth="1"/>
    <col min="11524" max="11524" width="10.44140625" style="4" customWidth="1"/>
    <col min="11525" max="11525" width="10.6640625" style="4" customWidth="1"/>
    <col min="11526" max="11526" width="11" style="4" customWidth="1"/>
    <col min="11527" max="11527" width="10.44140625" style="4" customWidth="1"/>
    <col min="11528" max="11528" width="10.88671875" style="4" customWidth="1"/>
    <col min="11529" max="11529" width="11.21875" style="4" customWidth="1"/>
    <col min="11530" max="11530" width="11.33203125" style="4" customWidth="1"/>
    <col min="11531" max="11531" width="10.77734375" style="4" customWidth="1"/>
    <col min="11532" max="11547" width="10" style="4" customWidth="1"/>
    <col min="11548" max="11776" width="8.88671875" style="4"/>
    <col min="11777" max="11777" width="24.44140625" style="4" customWidth="1"/>
    <col min="11778" max="11778" width="12.88671875" style="4" customWidth="1"/>
    <col min="11779" max="11779" width="10.77734375" style="4" customWidth="1"/>
    <col min="11780" max="11780" width="10.44140625" style="4" customWidth="1"/>
    <col min="11781" max="11781" width="10.6640625" style="4" customWidth="1"/>
    <col min="11782" max="11782" width="11" style="4" customWidth="1"/>
    <col min="11783" max="11783" width="10.44140625" style="4" customWidth="1"/>
    <col min="11784" max="11784" width="10.88671875" style="4" customWidth="1"/>
    <col min="11785" max="11785" width="11.21875" style="4" customWidth="1"/>
    <col min="11786" max="11786" width="11.33203125" style="4" customWidth="1"/>
    <col min="11787" max="11787" width="10.77734375" style="4" customWidth="1"/>
    <col min="11788" max="11803" width="10" style="4" customWidth="1"/>
    <col min="11804" max="12032" width="8.88671875" style="4"/>
    <col min="12033" max="12033" width="24.44140625" style="4" customWidth="1"/>
    <col min="12034" max="12034" width="12.88671875" style="4" customWidth="1"/>
    <col min="12035" max="12035" width="10.77734375" style="4" customWidth="1"/>
    <col min="12036" max="12036" width="10.44140625" style="4" customWidth="1"/>
    <col min="12037" max="12037" width="10.6640625" style="4" customWidth="1"/>
    <col min="12038" max="12038" width="11" style="4" customWidth="1"/>
    <col min="12039" max="12039" width="10.44140625" style="4" customWidth="1"/>
    <col min="12040" max="12040" width="10.88671875" style="4" customWidth="1"/>
    <col min="12041" max="12041" width="11.21875" style="4" customWidth="1"/>
    <col min="12042" max="12042" width="11.33203125" style="4" customWidth="1"/>
    <col min="12043" max="12043" width="10.77734375" style="4" customWidth="1"/>
    <col min="12044" max="12059" width="10" style="4" customWidth="1"/>
    <col min="12060" max="12288" width="8.88671875" style="4"/>
    <col min="12289" max="12289" width="24.44140625" style="4" customWidth="1"/>
    <col min="12290" max="12290" width="12.88671875" style="4" customWidth="1"/>
    <col min="12291" max="12291" width="10.77734375" style="4" customWidth="1"/>
    <col min="12292" max="12292" width="10.44140625" style="4" customWidth="1"/>
    <col min="12293" max="12293" width="10.6640625" style="4" customWidth="1"/>
    <col min="12294" max="12294" width="11" style="4" customWidth="1"/>
    <col min="12295" max="12295" width="10.44140625" style="4" customWidth="1"/>
    <col min="12296" max="12296" width="10.88671875" style="4" customWidth="1"/>
    <col min="12297" max="12297" width="11.21875" style="4" customWidth="1"/>
    <col min="12298" max="12298" width="11.33203125" style="4" customWidth="1"/>
    <col min="12299" max="12299" width="10.77734375" style="4" customWidth="1"/>
    <col min="12300" max="12315" width="10" style="4" customWidth="1"/>
    <col min="12316" max="12544" width="8.88671875" style="4"/>
    <col min="12545" max="12545" width="24.44140625" style="4" customWidth="1"/>
    <col min="12546" max="12546" width="12.88671875" style="4" customWidth="1"/>
    <col min="12547" max="12547" width="10.77734375" style="4" customWidth="1"/>
    <col min="12548" max="12548" width="10.44140625" style="4" customWidth="1"/>
    <col min="12549" max="12549" width="10.6640625" style="4" customWidth="1"/>
    <col min="12550" max="12550" width="11" style="4" customWidth="1"/>
    <col min="12551" max="12551" width="10.44140625" style="4" customWidth="1"/>
    <col min="12552" max="12552" width="10.88671875" style="4" customWidth="1"/>
    <col min="12553" max="12553" width="11.21875" style="4" customWidth="1"/>
    <col min="12554" max="12554" width="11.33203125" style="4" customWidth="1"/>
    <col min="12555" max="12555" width="10.77734375" style="4" customWidth="1"/>
    <col min="12556" max="12571" width="10" style="4" customWidth="1"/>
    <col min="12572" max="12800" width="8.88671875" style="4"/>
    <col min="12801" max="12801" width="24.44140625" style="4" customWidth="1"/>
    <col min="12802" max="12802" width="12.88671875" style="4" customWidth="1"/>
    <col min="12803" max="12803" width="10.77734375" style="4" customWidth="1"/>
    <col min="12804" max="12804" width="10.44140625" style="4" customWidth="1"/>
    <col min="12805" max="12805" width="10.6640625" style="4" customWidth="1"/>
    <col min="12806" max="12806" width="11" style="4" customWidth="1"/>
    <col min="12807" max="12807" width="10.44140625" style="4" customWidth="1"/>
    <col min="12808" max="12808" width="10.88671875" style="4" customWidth="1"/>
    <col min="12809" max="12809" width="11.21875" style="4" customWidth="1"/>
    <col min="12810" max="12810" width="11.33203125" style="4" customWidth="1"/>
    <col min="12811" max="12811" width="10.77734375" style="4" customWidth="1"/>
    <col min="12812" max="12827" width="10" style="4" customWidth="1"/>
    <col min="12828" max="13056" width="8.88671875" style="4"/>
    <col min="13057" max="13057" width="24.44140625" style="4" customWidth="1"/>
    <col min="13058" max="13058" width="12.88671875" style="4" customWidth="1"/>
    <col min="13059" max="13059" width="10.77734375" style="4" customWidth="1"/>
    <col min="13060" max="13060" width="10.44140625" style="4" customWidth="1"/>
    <col min="13061" max="13061" width="10.6640625" style="4" customWidth="1"/>
    <col min="13062" max="13062" width="11" style="4" customWidth="1"/>
    <col min="13063" max="13063" width="10.44140625" style="4" customWidth="1"/>
    <col min="13064" max="13064" width="10.88671875" style="4" customWidth="1"/>
    <col min="13065" max="13065" width="11.21875" style="4" customWidth="1"/>
    <col min="13066" max="13066" width="11.33203125" style="4" customWidth="1"/>
    <col min="13067" max="13067" width="10.77734375" style="4" customWidth="1"/>
    <col min="13068" max="13083" width="10" style="4" customWidth="1"/>
    <col min="13084" max="13312" width="8.88671875" style="4"/>
    <col min="13313" max="13313" width="24.44140625" style="4" customWidth="1"/>
    <col min="13314" max="13314" width="12.88671875" style="4" customWidth="1"/>
    <col min="13315" max="13315" width="10.77734375" style="4" customWidth="1"/>
    <col min="13316" max="13316" width="10.44140625" style="4" customWidth="1"/>
    <col min="13317" max="13317" width="10.6640625" style="4" customWidth="1"/>
    <col min="13318" max="13318" width="11" style="4" customWidth="1"/>
    <col min="13319" max="13319" width="10.44140625" style="4" customWidth="1"/>
    <col min="13320" max="13320" width="10.88671875" style="4" customWidth="1"/>
    <col min="13321" max="13321" width="11.21875" style="4" customWidth="1"/>
    <col min="13322" max="13322" width="11.33203125" style="4" customWidth="1"/>
    <col min="13323" max="13323" width="10.77734375" style="4" customWidth="1"/>
    <col min="13324" max="13339" width="10" style="4" customWidth="1"/>
    <col min="13340" max="13568" width="8.88671875" style="4"/>
    <col min="13569" max="13569" width="24.44140625" style="4" customWidth="1"/>
    <col min="13570" max="13570" width="12.88671875" style="4" customWidth="1"/>
    <col min="13571" max="13571" width="10.77734375" style="4" customWidth="1"/>
    <col min="13572" max="13572" width="10.44140625" style="4" customWidth="1"/>
    <col min="13573" max="13573" width="10.6640625" style="4" customWidth="1"/>
    <col min="13574" max="13574" width="11" style="4" customWidth="1"/>
    <col min="13575" max="13575" width="10.44140625" style="4" customWidth="1"/>
    <col min="13576" max="13576" width="10.88671875" style="4" customWidth="1"/>
    <col min="13577" max="13577" width="11.21875" style="4" customWidth="1"/>
    <col min="13578" max="13578" width="11.33203125" style="4" customWidth="1"/>
    <col min="13579" max="13579" width="10.77734375" style="4" customWidth="1"/>
    <col min="13580" max="13595" width="10" style="4" customWidth="1"/>
    <col min="13596" max="13824" width="8.88671875" style="4"/>
    <col min="13825" max="13825" width="24.44140625" style="4" customWidth="1"/>
    <col min="13826" max="13826" width="12.88671875" style="4" customWidth="1"/>
    <col min="13827" max="13827" width="10.77734375" style="4" customWidth="1"/>
    <col min="13828" max="13828" width="10.44140625" style="4" customWidth="1"/>
    <col min="13829" max="13829" width="10.6640625" style="4" customWidth="1"/>
    <col min="13830" max="13830" width="11" style="4" customWidth="1"/>
    <col min="13831" max="13831" width="10.44140625" style="4" customWidth="1"/>
    <col min="13832" max="13832" width="10.88671875" style="4" customWidth="1"/>
    <col min="13833" max="13833" width="11.21875" style="4" customWidth="1"/>
    <col min="13834" max="13834" width="11.33203125" style="4" customWidth="1"/>
    <col min="13835" max="13835" width="10.77734375" style="4" customWidth="1"/>
    <col min="13836" max="13851" width="10" style="4" customWidth="1"/>
    <col min="13852" max="14080" width="8.88671875" style="4"/>
    <col min="14081" max="14081" width="24.44140625" style="4" customWidth="1"/>
    <col min="14082" max="14082" width="12.88671875" style="4" customWidth="1"/>
    <col min="14083" max="14083" width="10.77734375" style="4" customWidth="1"/>
    <col min="14084" max="14084" width="10.44140625" style="4" customWidth="1"/>
    <col min="14085" max="14085" width="10.6640625" style="4" customWidth="1"/>
    <col min="14086" max="14086" width="11" style="4" customWidth="1"/>
    <col min="14087" max="14087" width="10.44140625" style="4" customWidth="1"/>
    <col min="14088" max="14088" width="10.88671875" style="4" customWidth="1"/>
    <col min="14089" max="14089" width="11.21875" style="4" customWidth="1"/>
    <col min="14090" max="14090" width="11.33203125" style="4" customWidth="1"/>
    <col min="14091" max="14091" width="10.77734375" style="4" customWidth="1"/>
    <col min="14092" max="14107" width="10" style="4" customWidth="1"/>
    <col min="14108" max="14336" width="8.88671875" style="4"/>
    <col min="14337" max="14337" width="24.44140625" style="4" customWidth="1"/>
    <col min="14338" max="14338" width="12.88671875" style="4" customWidth="1"/>
    <col min="14339" max="14339" width="10.77734375" style="4" customWidth="1"/>
    <col min="14340" max="14340" width="10.44140625" style="4" customWidth="1"/>
    <col min="14341" max="14341" width="10.6640625" style="4" customWidth="1"/>
    <col min="14342" max="14342" width="11" style="4" customWidth="1"/>
    <col min="14343" max="14343" width="10.44140625" style="4" customWidth="1"/>
    <col min="14344" max="14344" width="10.88671875" style="4" customWidth="1"/>
    <col min="14345" max="14345" width="11.21875" style="4" customWidth="1"/>
    <col min="14346" max="14346" width="11.33203125" style="4" customWidth="1"/>
    <col min="14347" max="14347" width="10.77734375" style="4" customWidth="1"/>
    <col min="14348" max="14363" width="10" style="4" customWidth="1"/>
    <col min="14364" max="14592" width="8.88671875" style="4"/>
    <col min="14593" max="14593" width="24.44140625" style="4" customWidth="1"/>
    <col min="14594" max="14594" width="12.88671875" style="4" customWidth="1"/>
    <col min="14595" max="14595" width="10.77734375" style="4" customWidth="1"/>
    <col min="14596" max="14596" width="10.44140625" style="4" customWidth="1"/>
    <col min="14597" max="14597" width="10.6640625" style="4" customWidth="1"/>
    <col min="14598" max="14598" width="11" style="4" customWidth="1"/>
    <col min="14599" max="14599" width="10.44140625" style="4" customWidth="1"/>
    <col min="14600" max="14600" width="10.88671875" style="4" customWidth="1"/>
    <col min="14601" max="14601" width="11.21875" style="4" customWidth="1"/>
    <col min="14602" max="14602" width="11.33203125" style="4" customWidth="1"/>
    <col min="14603" max="14603" width="10.77734375" style="4" customWidth="1"/>
    <col min="14604" max="14619" width="10" style="4" customWidth="1"/>
    <col min="14620" max="14848" width="8.88671875" style="4"/>
    <col min="14849" max="14849" width="24.44140625" style="4" customWidth="1"/>
    <col min="14850" max="14850" width="12.88671875" style="4" customWidth="1"/>
    <col min="14851" max="14851" width="10.77734375" style="4" customWidth="1"/>
    <col min="14852" max="14852" width="10.44140625" style="4" customWidth="1"/>
    <col min="14853" max="14853" width="10.6640625" style="4" customWidth="1"/>
    <col min="14854" max="14854" width="11" style="4" customWidth="1"/>
    <col min="14855" max="14855" width="10.44140625" style="4" customWidth="1"/>
    <col min="14856" max="14856" width="10.88671875" style="4" customWidth="1"/>
    <col min="14857" max="14857" width="11.21875" style="4" customWidth="1"/>
    <col min="14858" max="14858" width="11.33203125" style="4" customWidth="1"/>
    <col min="14859" max="14859" width="10.77734375" style="4" customWidth="1"/>
    <col min="14860" max="14875" width="10" style="4" customWidth="1"/>
    <col min="14876" max="15104" width="8.88671875" style="4"/>
    <col min="15105" max="15105" width="24.44140625" style="4" customWidth="1"/>
    <col min="15106" max="15106" width="12.88671875" style="4" customWidth="1"/>
    <col min="15107" max="15107" width="10.77734375" style="4" customWidth="1"/>
    <col min="15108" max="15108" width="10.44140625" style="4" customWidth="1"/>
    <col min="15109" max="15109" width="10.6640625" style="4" customWidth="1"/>
    <col min="15110" max="15110" width="11" style="4" customWidth="1"/>
    <col min="15111" max="15111" width="10.44140625" style="4" customWidth="1"/>
    <col min="15112" max="15112" width="10.88671875" style="4" customWidth="1"/>
    <col min="15113" max="15113" width="11.21875" style="4" customWidth="1"/>
    <col min="15114" max="15114" width="11.33203125" style="4" customWidth="1"/>
    <col min="15115" max="15115" width="10.77734375" style="4" customWidth="1"/>
    <col min="15116" max="15131" width="10" style="4" customWidth="1"/>
    <col min="15132" max="15360" width="8.88671875" style="4"/>
    <col min="15361" max="15361" width="24.44140625" style="4" customWidth="1"/>
    <col min="15362" max="15362" width="12.88671875" style="4" customWidth="1"/>
    <col min="15363" max="15363" width="10.77734375" style="4" customWidth="1"/>
    <col min="15364" max="15364" width="10.44140625" style="4" customWidth="1"/>
    <col min="15365" max="15365" width="10.6640625" style="4" customWidth="1"/>
    <col min="15366" max="15366" width="11" style="4" customWidth="1"/>
    <col min="15367" max="15367" width="10.44140625" style="4" customWidth="1"/>
    <col min="15368" max="15368" width="10.88671875" style="4" customWidth="1"/>
    <col min="15369" max="15369" width="11.21875" style="4" customWidth="1"/>
    <col min="15370" max="15370" width="11.33203125" style="4" customWidth="1"/>
    <col min="15371" max="15371" width="10.77734375" style="4" customWidth="1"/>
    <col min="15372" max="15387" width="10" style="4" customWidth="1"/>
    <col min="15388" max="15616" width="8.88671875" style="4"/>
    <col min="15617" max="15617" width="24.44140625" style="4" customWidth="1"/>
    <col min="15618" max="15618" width="12.88671875" style="4" customWidth="1"/>
    <col min="15619" max="15619" width="10.77734375" style="4" customWidth="1"/>
    <col min="15620" max="15620" width="10.44140625" style="4" customWidth="1"/>
    <col min="15621" max="15621" width="10.6640625" style="4" customWidth="1"/>
    <col min="15622" max="15622" width="11" style="4" customWidth="1"/>
    <col min="15623" max="15623" width="10.44140625" style="4" customWidth="1"/>
    <col min="15624" max="15624" width="10.88671875" style="4" customWidth="1"/>
    <col min="15625" max="15625" width="11.21875" style="4" customWidth="1"/>
    <col min="15626" max="15626" width="11.33203125" style="4" customWidth="1"/>
    <col min="15627" max="15627" width="10.77734375" style="4" customWidth="1"/>
    <col min="15628" max="15643" width="10" style="4" customWidth="1"/>
    <col min="15644" max="15872" width="8.88671875" style="4"/>
    <col min="15873" max="15873" width="24.44140625" style="4" customWidth="1"/>
    <col min="15874" max="15874" width="12.88671875" style="4" customWidth="1"/>
    <col min="15875" max="15875" width="10.77734375" style="4" customWidth="1"/>
    <col min="15876" max="15876" width="10.44140625" style="4" customWidth="1"/>
    <col min="15877" max="15877" width="10.6640625" style="4" customWidth="1"/>
    <col min="15878" max="15878" width="11" style="4" customWidth="1"/>
    <col min="15879" max="15879" width="10.44140625" style="4" customWidth="1"/>
    <col min="15880" max="15880" width="10.88671875" style="4" customWidth="1"/>
    <col min="15881" max="15881" width="11.21875" style="4" customWidth="1"/>
    <col min="15882" max="15882" width="11.33203125" style="4" customWidth="1"/>
    <col min="15883" max="15883" width="10.77734375" style="4" customWidth="1"/>
    <col min="15884" max="15899" width="10" style="4" customWidth="1"/>
    <col min="15900" max="16128" width="8.88671875" style="4"/>
    <col min="16129" max="16129" width="24.44140625" style="4" customWidth="1"/>
    <col min="16130" max="16130" width="12.88671875" style="4" customWidth="1"/>
    <col min="16131" max="16131" width="10.77734375" style="4" customWidth="1"/>
    <col min="16132" max="16132" width="10.44140625" style="4" customWidth="1"/>
    <col min="16133" max="16133" width="10.6640625" style="4" customWidth="1"/>
    <col min="16134" max="16134" width="11" style="4" customWidth="1"/>
    <col min="16135" max="16135" width="10.44140625" style="4" customWidth="1"/>
    <col min="16136" max="16136" width="10.88671875" style="4" customWidth="1"/>
    <col min="16137" max="16137" width="11.21875" style="4" customWidth="1"/>
    <col min="16138" max="16138" width="11.33203125" style="4" customWidth="1"/>
    <col min="16139" max="16139" width="10.77734375" style="4" customWidth="1"/>
    <col min="16140" max="16155" width="10" style="4" customWidth="1"/>
    <col min="16156" max="16384" width="8.88671875" style="4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43.5" customHeight="1" x14ac:dyDescent="0.35">
      <c r="A2" s="48" t="s">
        <v>0</v>
      </c>
      <c r="B2" s="49"/>
      <c r="C2" s="5"/>
      <c r="D2" s="50" t="s">
        <v>1</v>
      </c>
      <c r="E2" s="51"/>
      <c r="F2" s="6"/>
      <c r="G2" s="52" t="s">
        <v>67</v>
      </c>
      <c r="H2" s="53"/>
      <c r="I2" s="53"/>
      <c r="J2" s="53"/>
      <c r="K2" s="53"/>
      <c r="L2" s="5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27" ht="45.75" customHeight="1" thickBot="1" x14ac:dyDescent="0.25">
      <c r="A4" s="11" t="s">
        <v>2</v>
      </c>
      <c r="B4" s="12" t="s">
        <v>3</v>
      </c>
      <c r="C4" s="13" t="s">
        <v>4</v>
      </c>
      <c r="D4" s="14" t="s">
        <v>5</v>
      </c>
      <c r="E4" s="13" t="s">
        <v>6</v>
      </c>
      <c r="F4" s="14" t="s">
        <v>7</v>
      </c>
      <c r="G4" s="13" t="s">
        <v>8</v>
      </c>
      <c r="H4" s="14" t="s">
        <v>9</v>
      </c>
      <c r="I4" s="13" t="s">
        <v>10</v>
      </c>
      <c r="J4" s="14" t="s">
        <v>11</v>
      </c>
      <c r="K4" s="13" t="s">
        <v>12</v>
      </c>
      <c r="L4" s="14" t="s">
        <v>13</v>
      </c>
      <c r="M4" s="13" t="s">
        <v>14</v>
      </c>
      <c r="N4" s="14" t="s">
        <v>15</v>
      </c>
      <c r="O4" s="13" t="s">
        <v>16</v>
      </c>
      <c r="P4" s="14" t="s">
        <v>17</v>
      </c>
      <c r="Q4" s="13" t="s">
        <v>18</v>
      </c>
      <c r="R4" s="14" t="s">
        <v>19</v>
      </c>
      <c r="S4" s="13" t="s">
        <v>20</v>
      </c>
      <c r="T4" s="14" t="s">
        <v>21</v>
      </c>
      <c r="U4" s="13" t="s">
        <v>22</v>
      </c>
      <c r="V4" s="14" t="s">
        <v>23</v>
      </c>
      <c r="W4" s="13" t="s">
        <v>24</v>
      </c>
      <c r="X4" s="14" t="s">
        <v>25</v>
      </c>
      <c r="Y4" s="13" t="s">
        <v>26</v>
      </c>
      <c r="Z4" s="14" t="s">
        <v>27</v>
      </c>
      <c r="AA4" s="15" t="s">
        <v>28</v>
      </c>
    </row>
    <row r="5" spans="1:27" ht="24" customHeight="1" x14ac:dyDescent="0.2">
      <c r="A5" s="16" t="s">
        <v>29</v>
      </c>
      <c r="B5" s="17"/>
      <c r="C5" s="18"/>
      <c r="D5" s="19"/>
      <c r="E5" s="18"/>
      <c r="F5" s="19"/>
      <c r="G5" s="17"/>
      <c r="H5" s="19"/>
      <c r="I5" s="17"/>
      <c r="J5" s="19"/>
      <c r="K5" s="17"/>
      <c r="L5" s="19"/>
      <c r="M5" s="17"/>
      <c r="N5" s="19"/>
      <c r="O5" s="17"/>
      <c r="P5" s="19"/>
      <c r="Q5" s="17"/>
      <c r="R5" s="19"/>
      <c r="S5" s="17"/>
      <c r="T5" s="19"/>
      <c r="U5" s="17"/>
      <c r="V5" s="19"/>
      <c r="W5" s="17"/>
      <c r="X5" s="19"/>
      <c r="Y5" s="17"/>
      <c r="Z5" s="19"/>
      <c r="AA5" s="20" t="s">
        <v>30</v>
      </c>
    </row>
    <row r="6" spans="1:27" ht="25.5" x14ac:dyDescent="0.2">
      <c r="A6" s="21" t="s">
        <v>31</v>
      </c>
      <c r="B6" s="22">
        <v>3606580</v>
      </c>
      <c r="C6" s="23">
        <v>300548.33333333331</v>
      </c>
      <c r="D6" s="24">
        <f>442227-131187-12493+2000</f>
        <v>300547</v>
      </c>
      <c r="E6" s="23">
        <v>300548.33333333331</v>
      </c>
      <c r="F6" s="24">
        <f>300548</f>
        <v>300548</v>
      </c>
      <c r="G6" s="23">
        <v>300548.33333333331</v>
      </c>
      <c r="H6" s="24">
        <v>300548</v>
      </c>
      <c r="I6" s="23">
        <v>300548.33333333331</v>
      </c>
      <c r="J6" s="24">
        <f>300548</f>
        <v>300548</v>
      </c>
      <c r="K6" s="23">
        <v>300548.33333333331</v>
      </c>
      <c r="L6" s="24">
        <v>300548</v>
      </c>
      <c r="M6" s="23">
        <v>300548.33333333331</v>
      </c>
      <c r="N6" s="24">
        <v>300548</v>
      </c>
      <c r="O6" s="23">
        <v>300548.33333333331</v>
      </c>
      <c r="P6" s="24">
        <v>291265</v>
      </c>
      <c r="Q6" s="23">
        <v>300548.33333333331</v>
      </c>
      <c r="R6" s="24"/>
      <c r="S6" s="23">
        <v>300548.33333333331</v>
      </c>
      <c r="T6" s="24"/>
      <c r="U6" s="23">
        <v>300548.33333333331</v>
      </c>
      <c r="V6" s="24"/>
      <c r="W6" s="23">
        <v>300548.33333333331</v>
      </c>
      <c r="X6" s="24"/>
      <c r="Y6" s="23">
        <v>300548.33333333331</v>
      </c>
      <c r="Z6" s="24"/>
      <c r="AA6" s="25">
        <v>2094552</v>
      </c>
    </row>
    <row r="7" spans="1:27" x14ac:dyDescent="0.2">
      <c r="A7" s="21" t="s">
        <v>32</v>
      </c>
      <c r="B7" s="22">
        <v>138095</v>
      </c>
      <c r="C7" s="22">
        <v>0</v>
      </c>
      <c r="D7" s="24"/>
      <c r="E7" s="23">
        <v>32023.75</v>
      </c>
      <c r="F7" s="24">
        <v>32974</v>
      </c>
      <c r="G7" s="23">
        <v>0</v>
      </c>
      <c r="H7" s="24"/>
      <c r="I7" s="23">
        <v>0</v>
      </c>
      <c r="J7" s="24"/>
      <c r="K7" s="23">
        <v>32023.75</v>
      </c>
      <c r="L7" s="24">
        <f>32272</f>
        <v>32272</v>
      </c>
      <c r="M7" s="23">
        <v>0</v>
      </c>
      <c r="N7" s="24"/>
      <c r="O7" s="23">
        <v>10000</v>
      </c>
      <c r="P7" s="24">
        <v>15966</v>
      </c>
      <c r="Q7" s="23">
        <v>32023.75</v>
      </c>
      <c r="R7" s="24"/>
      <c r="S7" s="23">
        <v>0</v>
      </c>
      <c r="T7" s="24"/>
      <c r="U7" s="23">
        <v>0</v>
      </c>
      <c r="V7" s="24"/>
      <c r="W7" s="23">
        <v>32023.75</v>
      </c>
      <c r="X7" s="24"/>
      <c r="Y7" s="23">
        <v>0</v>
      </c>
      <c r="Z7" s="24"/>
      <c r="AA7" s="25">
        <v>81212</v>
      </c>
    </row>
    <row r="8" spans="1:27" x14ac:dyDescent="0.2">
      <c r="A8" s="26" t="s">
        <v>33</v>
      </c>
      <c r="B8" s="22">
        <v>58365</v>
      </c>
      <c r="C8" s="22">
        <v>4863.75</v>
      </c>
      <c r="D8" s="24"/>
      <c r="E8" s="23">
        <v>4863.75</v>
      </c>
      <c r="F8" s="24">
        <f>9023</f>
        <v>9023</v>
      </c>
      <c r="G8" s="23">
        <v>4863.75</v>
      </c>
      <c r="H8" s="24">
        <f>4511</f>
        <v>4511</v>
      </c>
      <c r="I8" s="23">
        <v>4863.75</v>
      </c>
      <c r="J8" s="24"/>
      <c r="K8" s="23">
        <v>4863.75</v>
      </c>
      <c r="L8" s="24">
        <f>4511+4711</f>
        <v>9222</v>
      </c>
      <c r="M8" s="23">
        <v>4863.75</v>
      </c>
      <c r="N8" s="24"/>
      <c r="O8" s="23">
        <v>4863.75</v>
      </c>
      <c r="P8" s="24">
        <f>4511+4512</f>
        <v>9023</v>
      </c>
      <c r="Q8" s="23">
        <v>4863.75</v>
      </c>
      <c r="R8" s="24"/>
      <c r="S8" s="23">
        <v>4863.75</v>
      </c>
      <c r="T8" s="24"/>
      <c r="U8" s="23">
        <v>4863.75</v>
      </c>
      <c r="V8" s="24"/>
      <c r="W8" s="23">
        <v>4863.75</v>
      </c>
      <c r="X8" s="24"/>
      <c r="Y8" s="23">
        <v>4863.75</v>
      </c>
      <c r="Z8" s="24"/>
      <c r="AA8" s="25">
        <v>31779</v>
      </c>
    </row>
    <row r="9" spans="1:27" x14ac:dyDescent="0.2">
      <c r="A9" s="26" t="s">
        <v>34</v>
      </c>
      <c r="B9" s="22">
        <v>1574239</v>
      </c>
      <c r="C9" s="22">
        <v>131186.58333333334</v>
      </c>
      <c r="D9" s="24">
        <v>131187</v>
      </c>
      <c r="E9" s="23">
        <v>131186.58333333334</v>
      </c>
      <c r="F9" s="24">
        <f>131187</f>
        <v>131187</v>
      </c>
      <c r="G9" s="23">
        <v>131186.58333333334</v>
      </c>
      <c r="H9" s="24">
        <v>131187</v>
      </c>
      <c r="I9" s="23">
        <v>131186.58333333334</v>
      </c>
      <c r="J9" s="24">
        <f>131187</f>
        <v>131187</v>
      </c>
      <c r="K9" s="23">
        <v>131186.58333333334</v>
      </c>
      <c r="L9" s="24">
        <v>131187</v>
      </c>
      <c r="M9" s="23">
        <v>131186.58333333334</v>
      </c>
      <c r="N9" s="24">
        <v>131187</v>
      </c>
      <c r="O9" s="23">
        <v>131186.58333333334</v>
      </c>
      <c r="P9" s="24">
        <v>131187</v>
      </c>
      <c r="Q9" s="23">
        <v>131186.58333333334</v>
      </c>
      <c r="R9" s="24"/>
      <c r="S9" s="23">
        <v>131186.58333333334</v>
      </c>
      <c r="T9" s="24"/>
      <c r="U9" s="23">
        <v>131186.58333333334</v>
      </c>
      <c r="V9" s="24"/>
      <c r="W9" s="23">
        <v>131186.58333333334</v>
      </c>
      <c r="X9" s="24"/>
      <c r="Y9" s="23">
        <v>131186.58333333334</v>
      </c>
      <c r="Z9" s="24"/>
      <c r="AA9" s="25">
        <v>918309</v>
      </c>
    </row>
    <row r="10" spans="1:27" x14ac:dyDescent="0.2">
      <c r="A10" s="26" t="s">
        <v>35</v>
      </c>
      <c r="B10" s="22">
        <v>39478</v>
      </c>
      <c r="C10" s="22">
        <v>0</v>
      </c>
      <c r="D10" s="27"/>
      <c r="E10" s="23">
        <v>0</v>
      </c>
      <c r="F10" s="27"/>
      <c r="G10" s="23">
        <v>0</v>
      </c>
      <c r="H10" s="27"/>
      <c r="I10" s="23">
        <v>39478</v>
      </c>
      <c r="J10" s="27">
        <v>39478</v>
      </c>
      <c r="K10" s="23">
        <v>0</v>
      </c>
      <c r="L10" s="27"/>
      <c r="M10" s="23">
        <v>0</v>
      </c>
      <c r="N10" s="27"/>
      <c r="O10" s="23">
        <v>0</v>
      </c>
      <c r="P10" s="27"/>
      <c r="Q10" s="23">
        <v>0</v>
      </c>
      <c r="R10" s="27"/>
      <c r="S10" s="23">
        <v>0</v>
      </c>
      <c r="T10" s="27"/>
      <c r="U10" s="23">
        <v>0</v>
      </c>
      <c r="V10" s="27"/>
      <c r="W10" s="23">
        <v>0</v>
      </c>
      <c r="X10" s="27"/>
      <c r="Y10" s="23">
        <v>0</v>
      </c>
      <c r="Z10" s="27"/>
      <c r="AA10" s="25">
        <v>39478</v>
      </c>
    </row>
    <row r="11" spans="1:27" x14ac:dyDescent="0.2">
      <c r="A11" s="26" t="s">
        <v>36</v>
      </c>
      <c r="B11" s="22">
        <v>35535</v>
      </c>
      <c r="C11" s="22">
        <v>0</v>
      </c>
      <c r="D11" s="27"/>
      <c r="E11" s="23">
        <v>0</v>
      </c>
      <c r="F11" s="27"/>
      <c r="G11" s="23">
        <v>0</v>
      </c>
      <c r="H11" s="27"/>
      <c r="I11" s="23">
        <v>0</v>
      </c>
      <c r="J11" s="27"/>
      <c r="K11" s="23">
        <v>0</v>
      </c>
      <c r="L11" s="27"/>
      <c r="M11" s="23">
        <v>0</v>
      </c>
      <c r="N11" s="27"/>
      <c r="O11" s="23">
        <v>0</v>
      </c>
      <c r="P11" s="27"/>
      <c r="Q11" s="23">
        <v>0</v>
      </c>
      <c r="R11" s="27"/>
      <c r="S11" s="23">
        <v>0</v>
      </c>
      <c r="T11" s="27"/>
      <c r="U11" s="23">
        <v>35535</v>
      </c>
      <c r="V11" s="27"/>
      <c r="W11" s="23">
        <v>0</v>
      </c>
      <c r="X11" s="27"/>
      <c r="Y11" s="23">
        <v>0</v>
      </c>
      <c r="Z11" s="27"/>
      <c r="AA11" s="25">
        <v>0</v>
      </c>
    </row>
    <row r="12" spans="1:27" x14ac:dyDescent="0.2">
      <c r="A12" s="26" t="s">
        <v>37</v>
      </c>
      <c r="B12" s="22">
        <v>124186</v>
      </c>
      <c r="C12" s="22">
        <v>99349</v>
      </c>
      <c r="D12" s="27">
        <v>99349</v>
      </c>
      <c r="E12" s="23">
        <v>0</v>
      </c>
      <c r="F12" s="27"/>
      <c r="G12" s="23">
        <v>0</v>
      </c>
      <c r="H12" s="27"/>
      <c r="I12" s="23">
        <v>0</v>
      </c>
      <c r="J12" s="27"/>
      <c r="K12" s="23">
        <v>0</v>
      </c>
      <c r="L12" s="27"/>
      <c r="M12" s="23">
        <v>0</v>
      </c>
      <c r="N12" s="27"/>
      <c r="O12" s="23">
        <v>0</v>
      </c>
      <c r="P12" s="27"/>
      <c r="Q12" s="23">
        <v>24837</v>
      </c>
      <c r="R12" s="27"/>
      <c r="S12" s="23">
        <v>0</v>
      </c>
      <c r="T12" s="27"/>
      <c r="U12" s="23">
        <v>0</v>
      </c>
      <c r="V12" s="27"/>
      <c r="W12" s="23">
        <v>0</v>
      </c>
      <c r="X12" s="27"/>
      <c r="Y12" s="23">
        <v>0</v>
      </c>
      <c r="Z12" s="27"/>
      <c r="AA12" s="25">
        <v>99349</v>
      </c>
    </row>
    <row r="13" spans="1:27" x14ac:dyDescent="0.2">
      <c r="A13" s="26" t="s">
        <v>38</v>
      </c>
      <c r="B13" s="22">
        <v>18738</v>
      </c>
      <c r="C13" s="22">
        <v>12493</v>
      </c>
      <c r="D13" s="27">
        <v>12493</v>
      </c>
      <c r="E13" s="23">
        <v>0</v>
      </c>
      <c r="F13" s="27"/>
      <c r="G13" s="23">
        <v>0</v>
      </c>
      <c r="H13" s="27"/>
      <c r="I13" s="23">
        <v>0</v>
      </c>
      <c r="J13" s="27"/>
      <c r="K13" s="23">
        <v>0</v>
      </c>
      <c r="L13" s="27"/>
      <c r="M13" s="23">
        <v>0</v>
      </c>
      <c r="N13" s="27"/>
      <c r="O13" s="23">
        <v>0</v>
      </c>
      <c r="P13" s="27"/>
      <c r="Q13" s="23">
        <v>6245</v>
      </c>
      <c r="R13" s="27"/>
      <c r="S13" s="23">
        <v>0</v>
      </c>
      <c r="T13" s="27"/>
      <c r="U13" s="23">
        <v>0</v>
      </c>
      <c r="V13" s="27"/>
      <c r="W13" s="23">
        <v>0</v>
      </c>
      <c r="X13" s="27"/>
      <c r="Y13" s="23">
        <v>0</v>
      </c>
      <c r="Z13" s="27"/>
      <c r="AA13" s="25">
        <v>12493</v>
      </c>
    </row>
    <row r="14" spans="1:27" x14ac:dyDescent="0.2">
      <c r="A14" s="26" t="s">
        <v>39</v>
      </c>
      <c r="B14" s="22">
        <v>519424</v>
      </c>
      <c r="C14" s="22">
        <v>0</v>
      </c>
      <c r="D14" s="27"/>
      <c r="E14" s="23">
        <v>0</v>
      </c>
      <c r="F14" s="27"/>
      <c r="G14" s="23">
        <v>0</v>
      </c>
      <c r="H14" s="27"/>
      <c r="I14" s="23">
        <v>0</v>
      </c>
      <c r="J14" s="27"/>
      <c r="K14" s="23">
        <v>0</v>
      </c>
      <c r="L14" s="27"/>
      <c r="M14" s="23">
        <v>0</v>
      </c>
      <c r="N14" s="27"/>
      <c r="O14" s="23">
        <v>0</v>
      </c>
      <c r="P14" s="27"/>
      <c r="Q14" s="23">
        <v>0</v>
      </c>
      <c r="R14" s="27"/>
      <c r="S14" s="23">
        <v>519424</v>
      </c>
      <c r="T14" s="27"/>
      <c r="U14" s="23">
        <v>0</v>
      </c>
      <c r="V14" s="27"/>
      <c r="W14" s="23">
        <v>0</v>
      </c>
      <c r="X14" s="27"/>
      <c r="Y14" s="23">
        <v>0</v>
      </c>
      <c r="Z14" s="27"/>
      <c r="AA14" s="25">
        <v>0</v>
      </c>
    </row>
    <row r="15" spans="1:27" x14ac:dyDescent="0.2">
      <c r="A15" s="26" t="s">
        <v>40</v>
      </c>
      <c r="B15" s="22">
        <v>2000</v>
      </c>
      <c r="C15" s="22">
        <v>0</v>
      </c>
      <c r="D15" s="27"/>
      <c r="E15" s="23">
        <v>0</v>
      </c>
      <c r="F15" s="27">
        <v>1000</v>
      </c>
      <c r="G15" s="23">
        <v>668</v>
      </c>
      <c r="H15" s="27"/>
      <c r="I15" s="23">
        <v>0</v>
      </c>
      <c r="J15" s="27"/>
      <c r="K15" s="23">
        <v>0</v>
      </c>
      <c r="L15" s="27"/>
      <c r="M15" s="23">
        <v>0</v>
      </c>
      <c r="N15" s="27"/>
      <c r="O15" s="23">
        <v>668</v>
      </c>
      <c r="P15" s="27"/>
      <c r="Q15" s="23">
        <v>0</v>
      </c>
      <c r="R15" s="27"/>
      <c r="S15" s="23">
        <v>0</v>
      </c>
      <c r="T15" s="27"/>
      <c r="U15" s="23">
        <v>0</v>
      </c>
      <c r="V15" s="27"/>
      <c r="W15" s="23">
        <v>664</v>
      </c>
      <c r="X15" s="27"/>
      <c r="Y15" s="23">
        <v>0</v>
      </c>
      <c r="Z15" s="27"/>
      <c r="AA15" s="25">
        <v>1000</v>
      </c>
    </row>
    <row r="16" spans="1:27" x14ac:dyDescent="0.2">
      <c r="A16" s="26" t="s">
        <v>41</v>
      </c>
      <c r="B16" s="22">
        <v>25000</v>
      </c>
      <c r="C16" s="22">
        <v>2083.3333333333335</v>
      </c>
      <c r="D16" s="27"/>
      <c r="E16" s="23">
        <v>2083.3333333333335</v>
      </c>
      <c r="F16" s="27"/>
      <c r="G16" s="23">
        <v>2083.3333333333335</v>
      </c>
      <c r="H16" s="27"/>
      <c r="I16" s="23">
        <v>2083.3333333333335</v>
      </c>
      <c r="J16" s="27">
        <f>6375+2125</f>
        <v>8500</v>
      </c>
      <c r="K16" s="23">
        <v>2083.3333333333335</v>
      </c>
      <c r="L16" s="27"/>
      <c r="M16" s="23">
        <v>2083.3333333333335</v>
      </c>
      <c r="N16" s="27">
        <f>4250</f>
        <v>4250</v>
      </c>
      <c r="O16" s="23">
        <v>2083.3333333333335</v>
      </c>
      <c r="P16" s="27">
        <f>2125</f>
        <v>2125</v>
      </c>
      <c r="Q16" s="23">
        <v>2083.3333333333335</v>
      </c>
      <c r="R16" s="27"/>
      <c r="S16" s="23">
        <v>2083.3333333333335</v>
      </c>
      <c r="T16" s="27"/>
      <c r="U16" s="23">
        <v>2083.3333333333335</v>
      </c>
      <c r="V16" s="27"/>
      <c r="W16" s="23">
        <v>2083.3333333333335</v>
      </c>
      <c r="X16" s="27"/>
      <c r="Y16" s="23">
        <v>2083.3333333333335</v>
      </c>
      <c r="Z16" s="27"/>
      <c r="AA16" s="25">
        <v>14875</v>
      </c>
    </row>
    <row r="17" spans="1:27" x14ac:dyDescent="0.2">
      <c r="A17" s="26" t="s">
        <v>42</v>
      </c>
      <c r="B17" s="22">
        <v>170000</v>
      </c>
      <c r="C17" s="22">
        <v>14166.666666666666</v>
      </c>
      <c r="D17" s="27">
        <f>150+128+105+198+110+500+248+66+240+120+107+135+540+1115+7090</f>
        <v>10852</v>
      </c>
      <c r="E17" s="23">
        <v>14166.666666666666</v>
      </c>
      <c r="F17" s="27">
        <f>40+1080+65+213+360+454+120+324+275+330+283+500+195+106+300+2680+60+400+900+170+200+1350+319+900</f>
        <v>11624</v>
      </c>
      <c r="G17" s="23">
        <v>14166.666666666666</v>
      </c>
      <c r="H17" s="27">
        <v>28414</v>
      </c>
      <c r="I17" s="23">
        <v>14166.666666666666</v>
      </c>
      <c r="J17" s="27">
        <f>70+220+100+66+180+450+300+60+324+300+40+240+660+810+204+397+4699+66+320+120+320</f>
        <v>9946</v>
      </c>
      <c r="K17" s="23">
        <v>14166.666666666666</v>
      </c>
      <c r="L17" s="27">
        <f>55+240+400+165+720+60+149+165+7690+1080+320+240+150+120+240+100+142+700+238+136+500+160+324+165+320</f>
        <v>14579</v>
      </c>
      <c r="M17" s="23">
        <v>14166.666666666666</v>
      </c>
      <c r="N17" s="27">
        <f>485+180+450+400+720+120+2849+240+240+213+142+400+1080+811+136+200+165+385+4414+110+180+165+165</f>
        <v>14250</v>
      </c>
      <c r="O17" s="23">
        <v>14166.666666666666</v>
      </c>
      <c r="P17" s="27">
        <f>120+324+432+720+142+400+1080+160+66+200+320+9619+250+822+272+400+46+207+530+220+200+200+200+200+275+250+210+300+280+275+66</f>
        <v>18786</v>
      </c>
      <c r="Q17" s="23">
        <v>14166.666666666666</v>
      </c>
      <c r="R17" s="27"/>
      <c r="S17" s="23">
        <v>14166.666666666666</v>
      </c>
      <c r="T17" s="27"/>
      <c r="U17" s="23">
        <v>14166.666666666666</v>
      </c>
      <c r="V17" s="27"/>
      <c r="W17" s="23">
        <v>14166.666666666666</v>
      </c>
      <c r="X17" s="27"/>
      <c r="Y17" s="23">
        <v>14166.666666666666</v>
      </c>
      <c r="Z17" s="27"/>
      <c r="AA17" s="25">
        <v>108451</v>
      </c>
    </row>
    <row r="18" spans="1:27" x14ac:dyDescent="0.2">
      <c r="A18" s="26" t="s">
        <v>43</v>
      </c>
      <c r="B18" s="22">
        <v>2000</v>
      </c>
      <c r="C18" s="22">
        <v>166.66666666666666</v>
      </c>
      <c r="D18" s="27">
        <f>20+20+5+20+10+5</f>
        <v>80</v>
      </c>
      <c r="E18" s="23">
        <v>166.66666666666666</v>
      </c>
      <c r="F18" s="27">
        <f>5+5+10+40+10+25+5+5+5+5+20+10+10</f>
        <v>155</v>
      </c>
      <c r="G18" s="23">
        <v>166.66666666666666</v>
      </c>
      <c r="H18" s="27">
        <f>10+35+25+20+5+5+5+5+10+15+10+5+5</f>
        <v>155</v>
      </c>
      <c r="I18" s="23">
        <v>166.66666666666666</v>
      </c>
      <c r="J18" s="27">
        <f>5+40+50+5+5+5+45</f>
        <v>155</v>
      </c>
      <c r="K18" s="23">
        <v>166.66666666666666</v>
      </c>
      <c r="L18" s="27">
        <f>5+5+10+5+20+20+25+340+6+6+2+85+50+5+5+10+15+5+5</f>
        <v>624</v>
      </c>
      <c r="M18" s="23">
        <v>166.66666666666666</v>
      </c>
      <c r="N18" s="27">
        <f>25+20+20+25+200+5+10+25+5</f>
        <v>335</v>
      </c>
      <c r="O18" s="23">
        <v>166.66666666666666</v>
      </c>
      <c r="P18" s="27">
        <f>20+50+25+5+5+5+10+5+20+5+5</f>
        <v>155</v>
      </c>
      <c r="Q18" s="23">
        <v>166.66666666666666</v>
      </c>
      <c r="R18" s="27"/>
      <c r="S18" s="23">
        <v>166.66666666666666</v>
      </c>
      <c r="T18" s="27"/>
      <c r="U18" s="23">
        <v>166.66666666666666</v>
      </c>
      <c r="V18" s="27"/>
      <c r="W18" s="23">
        <v>166.66666666666666</v>
      </c>
      <c r="X18" s="27"/>
      <c r="Y18" s="23">
        <v>166.66666666666666</v>
      </c>
      <c r="Z18" s="27"/>
      <c r="AA18" s="25">
        <v>1659</v>
      </c>
    </row>
    <row r="19" spans="1:27" x14ac:dyDescent="0.2">
      <c r="A19" s="26" t="s">
        <v>44</v>
      </c>
      <c r="B19" s="22">
        <v>10000</v>
      </c>
      <c r="C19" s="22">
        <v>833.33333333333337</v>
      </c>
      <c r="D19" s="27">
        <f>119+900+12+60+42+162+279+184+14+60+90+86+111+369+45+20+750+995+56+64+76+292+46+14+6+6+25+350</f>
        <v>5233</v>
      </c>
      <c r="E19" s="23">
        <v>833.33333333333337</v>
      </c>
      <c r="F19" s="27">
        <f>8+18+1500+92+201+36+46+14+200+16+12+161+293+867+400</f>
        <v>3864</v>
      </c>
      <c r="G19" s="23">
        <v>833.33333333333337</v>
      </c>
      <c r="H19" s="27">
        <v>4407</v>
      </c>
      <c r="I19" s="23">
        <v>833.33333333333337</v>
      </c>
      <c r="J19" s="27">
        <f>453+33+527+1200+200+436</f>
        <v>2849</v>
      </c>
      <c r="K19" s="23">
        <v>833.33333333333337</v>
      </c>
      <c r="L19" s="27">
        <f>29+850+167+1500+133+207+160</f>
        <v>3046</v>
      </c>
      <c r="M19" s="23">
        <v>833.33333333333337</v>
      </c>
      <c r="N19" s="27">
        <f>8+145+2000+476+468+10+30+167+331</f>
        <v>3635</v>
      </c>
      <c r="O19" s="23">
        <v>833.33333333333337</v>
      </c>
      <c r="P19" s="27">
        <f>172.5+3433+58+25+40+245+24218+52</f>
        <v>28243.5</v>
      </c>
      <c r="Q19" s="23">
        <v>833.33333333333337</v>
      </c>
      <c r="R19" s="27"/>
      <c r="S19" s="23">
        <v>833.33333333333337</v>
      </c>
      <c r="T19" s="27"/>
      <c r="U19" s="23">
        <v>833.33333333333337</v>
      </c>
      <c r="V19" s="27"/>
      <c r="W19" s="23">
        <v>833.33333333333337</v>
      </c>
      <c r="X19" s="27"/>
      <c r="Y19" s="23">
        <v>833.33333333333337</v>
      </c>
      <c r="Z19" s="27"/>
      <c r="AA19" s="25">
        <v>51277.5</v>
      </c>
    </row>
    <row r="20" spans="1:27" x14ac:dyDescent="0.2">
      <c r="A20" s="26" t="s">
        <v>45</v>
      </c>
      <c r="B20" s="23">
        <v>23800</v>
      </c>
      <c r="C20" s="22">
        <v>0</v>
      </c>
      <c r="D20" s="27"/>
      <c r="E20" s="23">
        <v>0</v>
      </c>
      <c r="F20" s="27"/>
      <c r="G20" s="23">
        <v>7933</v>
      </c>
      <c r="H20" s="27">
        <v>13880</v>
      </c>
      <c r="I20" s="23">
        <v>0</v>
      </c>
      <c r="J20" s="27"/>
      <c r="K20" s="23">
        <v>0</v>
      </c>
      <c r="L20" s="27"/>
      <c r="M20" s="23">
        <v>0</v>
      </c>
      <c r="N20" s="27">
        <f>300+75</f>
        <v>375</v>
      </c>
      <c r="O20" s="23">
        <v>7933</v>
      </c>
      <c r="P20" s="27"/>
      <c r="Q20" s="23">
        <v>0</v>
      </c>
      <c r="R20" s="27"/>
      <c r="S20" s="23">
        <v>0</v>
      </c>
      <c r="T20" s="27"/>
      <c r="U20" s="23">
        <v>0</v>
      </c>
      <c r="V20" s="27"/>
      <c r="W20" s="23">
        <v>7934</v>
      </c>
      <c r="X20" s="27"/>
      <c r="Y20" s="23">
        <v>0</v>
      </c>
      <c r="Z20" s="27"/>
      <c r="AA20" s="25">
        <v>14255</v>
      </c>
    </row>
    <row r="21" spans="1:27" x14ac:dyDescent="0.2">
      <c r="A21" s="28" t="s">
        <v>46</v>
      </c>
      <c r="B21" s="23">
        <v>25240</v>
      </c>
      <c r="C21" s="22">
        <v>0</v>
      </c>
      <c r="D21" s="27"/>
      <c r="E21" s="23">
        <v>0</v>
      </c>
      <c r="F21" s="27"/>
      <c r="G21" s="23">
        <v>0</v>
      </c>
      <c r="H21" s="27"/>
      <c r="I21" s="23">
        <v>0</v>
      </c>
      <c r="J21" s="27"/>
      <c r="K21" s="23">
        <v>0</v>
      </c>
      <c r="L21" s="27"/>
      <c r="M21" s="23">
        <v>0</v>
      </c>
      <c r="N21" s="27"/>
      <c r="O21" s="23">
        <v>0</v>
      </c>
      <c r="P21" s="27"/>
      <c r="Q21" s="23">
        <v>0</v>
      </c>
      <c r="R21" s="27"/>
      <c r="S21" s="23">
        <v>0</v>
      </c>
      <c r="T21" s="27"/>
      <c r="U21" s="23">
        <v>0</v>
      </c>
      <c r="V21" s="27"/>
      <c r="W21" s="23">
        <v>25240</v>
      </c>
      <c r="X21" s="27"/>
      <c r="Y21" s="23">
        <v>0</v>
      </c>
      <c r="Z21" s="27"/>
      <c r="AA21" s="25">
        <v>0</v>
      </c>
    </row>
    <row r="22" spans="1:27" ht="13.5" thickBot="1" x14ac:dyDescent="0.25">
      <c r="A22" s="26" t="s">
        <v>47</v>
      </c>
      <c r="B22" s="23">
        <v>93044</v>
      </c>
      <c r="C22" s="22">
        <v>70662</v>
      </c>
      <c r="D22" s="27">
        <f>3676+55069+8624</f>
        <v>67369</v>
      </c>
      <c r="E22" s="23">
        <v>22382</v>
      </c>
      <c r="F22" s="27"/>
      <c r="G22" s="23">
        <v>0</v>
      </c>
      <c r="H22" s="27"/>
      <c r="I22" s="23">
        <v>0</v>
      </c>
      <c r="J22" s="27"/>
      <c r="K22" s="23">
        <v>0</v>
      </c>
      <c r="L22" s="27"/>
      <c r="M22" s="23">
        <v>0</v>
      </c>
      <c r="N22" s="27"/>
      <c r="O22" s="23">
        <v>0</v>
      </c>
      <c r="P22" s="27"/>
      <c r="Q22" s="23">
        <v>0</v>
      </c>
      <c r="R22" s="27"/>
      <c r="S22" s="23">
        <v>0</v>
      </c>
      <c r="T22" s="27"/>
      <c r="U22" s="23">
        <v>0</v>
      </c>
      <c r="V22" s="27"/>
      <c r="W22" s="23">
        <v>0</v>
      </c>
      <c r="X22" s="27"/>
      <c r="Y22" s="23">
        <v>0</v>
      </c>
      <c r="Z22" s="27"/>
      <c r="AA22" s="25">
        <v>67369</v>
      </c>
    </row>
    <row r="23" spans="1:27" ht="13.5" thickBot="1" x14ac:dyDescent="0.25">
      <c r="A23" s="29" t="s">
        <v>48</v>
      </c>
      <c r="B23" s="30">
        <f>SUM(B6:B22)</f>
        <v>6465724</v>
      </c>
      <c r="C23" s="30">
        <f>SUM(C6:C22)</f>
        <v>636352.66666666663</v>
      </c>
      <c r="D23" s="30">
        <f>SUM(D6:D22)</f>
        <v>627110</v>
      </c>
      <c r="E23" s="30">
        <f>SUM(E6:E22)</f>
        <v>508254.41666666663</v>
      </c>
      <c r="F23" s="30">
        <f>SUM(F6:F22)</f>
        <v>490375</v>
      </c>
      <c r="G23" s="30">
        <f>SUM(G6:G22)</f>
        <v>462449.66666666663</v>
      </c>
      <c r="H23" s="30">
        <f>SUM(H6:H22)</f>
        <v>483102</v>
      </c>
      <c r="I23" s="30">
        <f>SUM(I6:I22)</f>
        <v>493326.66666666663</v>
      </c>
      <c r="J23" s="30">
        <f>SUM(J6:J22)</f>
        <v>492663</v>
      </c>
      <c r="K23" s="30">
        <f>SUM(K6:K22)</f>
        <v>485872.41666666663</v>
      </c>
      <c r="L23" s="30">
        <f>SUM(L6:L22)</f>
        <v>491478</v>
      </c>
      <c r="M23" s="30">
        <f>SUM(M6:M22)</f>
        <v>453848.66666666663</v>
      </c>
      <c r="N23" s="30">
        <f>SUM(N6:N22)</f>
        <v>454580</v>
      </c>
      <c r="O23" s="30">
        <f>SUM(O6:O22)</f>
        <v>472449.66666666663</v>
      </c>
      <c r="P23" s="30">
        <f>SUM(P6:P22)</f>
        <v>496750.5</v>
      </c>
      <c r="Q23" s="30">
        <f>SUM(Q6:Q22)</f>
        <v>516954.41666666663</v>
      </c>
      <c r="R23" s="30">
        <f>SUM(R6:R22)</f>
        <v>0</v>
      </c>
      <c r="S23" s="30">
        <f>SUM(S6:S22)</f>
        <v>973272.66666666663</v>
      </c>
      <c r="T23" s="30">
        <f>SUM(T6:T22)</f>
        <v>0</v>
      </c>
      <c r="U23" s="30">
        <f>SUM(U6:U22)</f>
        <v>489383.66666666663</v>
      </c>
      <c r="V23" s="30">
        <f>SUM(V6:V22)</f>
        <v>0</v>
      </c>
      <c r="W23" s="30">
        <f>SUM(W6:W22)</f>
        <v>519710.41666666663</v>
      </c>
      <c r="X23" s="30">
        <f>SUM(X6:X22)</f>
        <v>0</v>
      </c>
      <c r="Y23" s="30">
        <f>SUM(Y6:Y22)</f>
        <v>453848.66666666663</v>
      </c>
      <c r="Z23" s="30">
        <f>SUM(Z6:Z22)</f>
        <v>0</v>
      </c>
      <c r="AA23" s="30">
        <f>SUM(AA6:AA22)</f>
        <v>3536058.5</v>
      </c>
    </row>
    <row r="24" spans="1:27" ht="24" customHeight="1" x14ac:dyDescent="0.2">
      <c r="A24" s="16" t="s">
        <v>49</v>
      </c>
      <c r="B24" s="31"/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3"/>
    </row>
    <row r="25" spans="1:27" x14ac:dyDescent="0.2">
      <c r="A25" s="21" t="s">
        <v>50</v>
      </c>
      <c r="B25" s="23">
        <v>5216848</v>
      </c>
      <c r="C25" s="34">
        <v>434737.33333333331</v>
      </c>
      <c r="D25" s="35">
        <f>8464+1564+244120+117+128+61027+20033+105375</f>
        <v>440828</v>
      </c>
      <c r="E25" s="34">
        <v>434737.33333333331</v>
      </c>
      <c r="F25" s="35">
        <f>57542+1496+8464+17535+95872+242327+70+118</f>
        <v>423424</v>
      </c>
      <c r="G25" s="34">
        <v>434737.33333333331</v>
      </c>
      <c r="H25" s="35">
        <f>57811+1496+8464+17014+98402+247381+118+131</f>
        <v>430817</v>
      </c>
      <c r="I25" s="34">
        <v>434737.33333333331</v>
      </c>
      <c r="J25" s="35">
        <f>56375+1680+8464+16513+103627+242498+118+129</f>
        <v>429404</v>
      </c>
      <c r="K25" s="34">
        <v>434737.33333333331</v>
      </c>
      <c r="L25" s="35">
        <f>56999+8464+15904+98710+239962+118+129</f>
        <v>420286</v>
      </c>
      <c r="M25" s="34">
        <v>434737.33333333331</v>
      </c>
      <c r="N25" s="35">
        <f>57943+10358+18278+101547+238459+118+129+714</f>
        <v>427546</v>
      </c>
      <c r="O25" s="34">
        <v>434737.33333333331</v>
      </c>
      <c r="P25" s="35">
        <f>372+2367+61794+8464+17423+98097+235267+118+129+97</f>
        <v>424128</v>
      </c>
      <c r="Q25" s="34">
        <v>434737.33333333331</v>
      </c>
      <c r="R25" s="35"/>
      <c r="S25" s="34">
        <v>434737.33333333331</v>
      </c>
      <c r="T25" s="35"/>
      <c r="U25" s="34">
        <v>434737.33333333331</v>
      </c>
      <c r="V25" s="35"/>
      <c r="W25" s="34">
        <v>434737.33333333331</v>
      </c>
      <c r="X25" s="35"/>
      <c r="Y25" s="34">
        <v>434737.33333333331</v>
      </c>
      <c r="Z25" s="35"/>
      <c r="AA25" s="25">
        <v>2996433</v>
      </c>
    </row>
    <row r="26" spans="1:27" x14ac:dyDescent="0.2">
      <c r="A26" s="21" t="s">
        <v>51</v>
      </c>
      <c r="B26" s="23">
        <v>208672</v>
      </c>
      <c r="C26" s="34">
        <v>143192</v>
      </c>
      <c r="D26" s="35">
        <f>1863+3415+3671+4140+8266+8944+11709+7322+13132+28112+12922+153+65+24358+8569+6551</f>
        <v>143192</v>
      </c>
      <c r="E26" s="34">
        <v>827</v>
      </c>
      <c r="F26" s="35">
        <f>19+67+26+25+228+462</f>
        <v>827</v>
      </c>
      <c r="G26" s="34">
        <v>1336</v>
      </c>
      <c r="H26" s="35">
        <f>87+229+25+151+794+50</f>
        <v>1336</v>
      </c>
      <c r="I26" s="34">
        <v>16106</v>
      </c>
      <c r="J26" s="35">
        <f>2027+9778+115+1648+2538</f>
        <v>16106</v>
      </c>
      <c r="K26" s="34">
        <v>5901.38</v>
      </c>
      <c r="L26" s="35">
        <f>3106+33+108+45+1950+711</f>
        <v>5953</v>
      </c>
      <c r="M26" s="34">
        <v>5901.38</v>
      </c>
      <c r="N26" s="35">
        <f>722+276+25+3240+1110</f>
        <v>5373</v>
      </c>
      <c r="O26" s="34">
        <v>5901.38</v>
      </c>
      <c r="P26" s="35">
        <f>1368+178+1338+336</f>
        <v>3220</v>
      </c>
      <c r="Q26" s="34">
        <v>5901.38</v>
      </c>
      <c r="R26" s="35"/>
      <c r="S26" s="34">
        <v>5901.38</v>
      </c>
      <c r="T26" s="35"/>
      <c r="U26" s="34">
        <v>5901.38</v>
      </c>
      <c r="V26" s="35"/>
      <c r="W26" s="34">
        <v>5901.38</v>
      </c>
      <c r="X26" s="35"/>
      <c r="Y26" s="34">
        <v>5901.38</v>
      </c>
      <c r="Z26" s="35"/>
      <c r="AA26" s="25">
        <v>176007</v>
      </c>
    </row>
    <row r="27" spans="1:27" x14ac:dyDescent="0.2">
      <c r="A27" s="21" t="s">
        <v>52</v>
      </c>
      <c r="B27" s="23">
        <v>107800</v>
      </c>
      <c r="C27" s="34">
        <v>17892</v>
      </c>
      <c r="D27" s="35">
        <f>194+4243+6059+5287+630+1344+135</f>
        <v>17892</v>
      </c>
      <c r="E27" s="34">
        <v>4792</v>
      </c>
      <c r="F27" s="35">
        <f>300+146+450+38+535+18+301+83+1229+62+1489+141</f>
        <v>4792</v>
      </c>
      <c r="G27" s="34">
        <v>6800</v>
      </c>
      <c r="H27" s="35">
        <f>301+437+437+96+1619+3910</f>
        <v>6800</v>
      </c>
      <c r="I27" s="34">
        <v>12892</v>
      </c>
      <c r="J27" s="35">
        <f>38+521+818+559+6475+4474+7</f>
        <v>12892</v>
      </c>
      <c r="K27" s="34">
        <v>8178</v>
      </c>
      <c r="L27" s="35">
        <f>4491+49+475+1547+596</f>
        <v>7158</v>
      </c>
      <c r="M27" s="34">
        <v>8178</v>
      </c>
      <c r="N27" s="35">
        <f>1958+176+256+3754+96+2981</f>
        <v>9221</v>
      </c>
      <c r="O27" s="34">
        <v>8178</v>
      </c>
      <c r="P27" s="35">
        <f>85+2158+2201+852+1635</f>
        <v>6931</v>
      </c>
      <c r="Q27" s="34">
        <v>8178</v>
      </c>
      <c r="R27" s="35"/>
      <c r="S27" s="34">
        <v>8178</v>
      </c>
      <c r="T27" s="35"/>
      <c r="U27" s="34">
        <v>8178</v>
      </c>
      <c r="V27" s="35"/>
      <c r="W27" s="34">
        <v>8178</v>
      </c>
      <c r="X27" s="35"/>
      <c r="Y27" s="34">
        <v>8178</v>
      </c>
      <c r="Z27" s="35"/>
      <c r="AA27" s="25">
        <v>65686</v>
      </c>
    </row>
    <row r="28" spans="1:27" x14ac:dyDescent="0.2">
      <c r="A28" s="21" t="s">
        <v>53</v>
      </c>
      <c r="B28" s="23">
        <v>365969</v>
      </c>
      <c r="C28" s="34">
        <v>37655</v>
      </c>
      <c r="D28" s="35">
        <f>38+3554+8394+407+618+15064+3192+2695+3693</f>
        <v>37655</v>
      </c>
      <c r="E28" s="34">
        <v>38085</v>
      </c>
      <c r="F28" s="35">
        <f>3554+16143+302+406+618+503+166+747+14656+990</f>
        <v>38085</v>
      </c>
      <c r="G28" s="34">
        <v>55547</v>
      </c>
      <c r="H28" s="35">
        <f>3554+8326+214+407+618+27652+14776</f>
        <v>55547</v>
      </c>
      <c r="I28" s="34">
        <v>32998</v>
      </c>
      <c r="J28" s="35">
        <f>3554+5874+7212+407+324+618+353+14656</f>
        <v>32998</v>
      </c>
      <c r="K28" s="34">
        <v>25210.5</v>
      </c>
      <c r="L28" s="35">
        <f>3554+24485+10+618+6549+407+729+143+23461</f>
        <v>59956</v>
      </c>
      <c r="M28" s="34">
        <v>25210.5</v>
      </c>
      <c r="N28" s="35">
        <f>571+240+2741+407+618+28605</f>
        <v>33182</v>
      </c>
      <c r="O28" s="34">
        <v>25210.5</v>
      </c>
      <c r="P28" s="35">
        <f>3574+426+2141+407+6604+19272</f>
        <v>32424</v>
      </c>
      <c r="Q28" s="34">
        <v>25210.5</v>
      </c>
      <c r="R28" s="35"/>
      <c r="S28" s="34">
        <v>25210.5</v>
      </c>
      <c r="T28" s="35"/>
      <c r="U28" s="34">
        <v>25210.5</v>
      </c>
      <c r="V28" s="35"/>
      <c r="W28" s="34">
        <v>25210.5</v>
      </c>
      <c r="X28" s="35"/>
      <c r="Y28" s="34">
        <v>25210.5</v>
      </c>
      <c r="Z28" s="35"/>
      <c r="AA28" s="25">
        <v>289847</v>
      </c>
    </row>
    <row r="29" spans="1:27" x14ac:dyDescent="0.2">
      <c r="A29" s="21" t="s">
        <v>54</v>
      </c>
      <c r="B29" s="23">
        <v>80000</v>
      </c>
      <c r="C29" s="34">
        <v>1731</v>
      </c>
      <c r="D29" s="35">
        <f>711+1020</f>
        <v>1731</v>
      </c>
      <c r="E29" s="34">
        <v>5786</v>
      </c>
      <c r="F29" s="35">
        <f>5786</f>
        <v>5786</v>
      </c>
      <c r="G29" s="34">
        <v>8801</v>
      </c>
      <c r="H29" s="35">
        <f>139+8662</f>
        <v>8801</v>
      </c>
      <c r="I29" s="34">
        <v>1219</v>
      </c>
      <c r="J29" s="35">
        <f>900+319</f>
        <v>1219</v>
      </c>
      <c r="K29" s="34">
        <v>7807.88</v>
      </c>
      <c r="L29" s="35">
        <f>705+6715+5719</f>
        <v>13139</v>
      </c>
      <c r="M29" s="34">
        <v>7807.88</v>
      </c>
      <c r="N29" s="35">
        <f>208+479</f>
        <v>687</v>
      </c>
      <c r="O29" s="34">
        <v>7807.88</v>
      </c>
      <c r="P29" s="35">
        <f>16273+2410</f>
        <v>18683</v>
      </c>
      <c r="Q29" s="34">
        <v>7807.88</v>
      </c>
      <c r="R29" s="35"/>
      <c r="S29" s="34">
        <v>7807.88</v>
      </c>
      <c r="T29" s="35"/>
      <c r="U29" s="34">
        <v>7807.88</v>
      </c>
      <c r="V29" s="35"/>
      <c r="W29" s="34">
        <v>7807.88</v>
      </c>
      <c r="X29" s="35"/>
      <c r="Y29" s="34">
        <v>7807.88</v>
      </c>
      <c r="Z29" s="35"/>
      <c r="AA29" s="25">
        <v>50046</v>
      </c>
    </row>
    <row r="30" spans="1:27" x14ac:dyDescent="0.2">
      <c r="A30" s="21" t="s">
        <v>55</v>
      </c>
      <c r="B30" s="23">
        <v>130816</v>
      </c>
      <c r="C30" s="34">
        <v>60001</v>
      </c>
      <c r="D30" s="35">
        <f>9+609+2376+9304+2000+30+357+1245+3576+30+18+30294-630+60+10723</f>
        <v>60001</v>
      </c>
      <c r="E30" s="34">
        <v>10745</v>
      </c>
      <c r="F30" s="35">
        <f>2621+5513+99+1628+48+18+818</f>
        <v>10745</v>
      </c>
      <c r="G30" s="34">
        <v>18921</v>
      </c>
      <c r="H30" s="35">
        <f>11379+32+78+96+585+6751</f>
        <v>18921</v>
      </c>
      <c r="I30" s="34">
        <v>19273</v>
      </c>
      <c r="J30" s="35">
        <f>42+2562+11961+4708</f>
        <v>19273</v>
      </c>
      <c r="K30" s="34">
        <v>14958.333333333332</v>
      </c>
      <c r="L30" s="35">
        <f>593+18409+8386+3725</f>
        <v>31113</v>
      </c>
      <c r="M30" s="34">
        <v>5208.333333333333</v>
      </c>
      <c r="N30" s="35">
        <f>1560+13+5600+96+1563</f>
        <v>8832</v>
      </c>
      <c r="O30" s="34">
        <v>14491.333333333332</v>
      </c>
      <c r="P30" s="35">
        <f>38+5822+32+715+2586+3383+14000</f>
        <v>26576</v>
      </c>
      <c r="Q30" s="34">
        <v>23876.333333333332</v>
      </c>
      <c r="R30" s="35"/>
      <c r="S30" s="34">
        <v>5208.333333333333</v>
      </c>
      <c r="T30" s="35"/>
      <c r="U30" s="34">
        <v>5208.333333333333</v>
      </c>
      <c r="V30" s="35"/>
      <c r="W30" s="34">
        <v>14958.333333333332</v>
      </c>
      <c r="X30" s="35"/>
      <c r="Y30" s="34">
        <v>5208.333333333333</v>
      </c>
      <c r="Z30" s="35"/>
      <c r="AA30" s="25">
        <v>175461</v>
      </c>
    </row>
    <row r="31" spans="1:27" x14ac:dyDescent="0.2">
      <c r="A31" s="36" t="s">
        <v>56</v>
      </c>
      <c r="B31" s="23">
        <v>50240</v>
      </c>
      <c r="C31" s="34">
        <v>4416</v>
      </c>
      <c r="D31" s="35">
        <v>4416</v>
      </c>
      <c r="E31" s="34">
        <v>3374</v>
      </c>
      <c r="F31" s="35">
        <f>227+1035+2112</f>
        <v>3374</v>
      </c>
      <c r="G31" s="34">
        <v>1994</v>
      </c>
      <c r="H31" s="35">
        <f>96+299+93+1506</f>
        <v>1994</v>
      </c>
      <c r="I31" s="34">
        <v>395</v>
      </c>
      <c r="J31" s="35">
        <f>232+163</f>
        <v>395</v>
      </c>
      <c r="K31" s="34">
        <v>5007.63</v>
      </c>
      <c r="L31" s="35">
        <f>120+131</f>
        <v>251</v>
      </c>
      <c r="M31" s="34">
        <v>5007.63</v>
      </c>
      <c r="N31" s="35">
        <f>85+855</f>
        <v>940</v>
      </c>
      <c r="O31" s="34">
        <v>5007.63</v>
      </c>
      <c r="P31" s="35">
        <f>2408+1600+1250</f>
        <v>5258</v>
      </c>
      <c r="Q31" s="34">
        <v>5007.63</v>
      </c>
      <c r="R31" s="35"/>
      <c r="S31" s="34">
        <v>5007.63</v>
      </c>
      <c r="T31" s="35"/>
      <c r="U31" s="34">
        <v>5007.63</v>
      </c>
      <c r="V31" s="35"/>
      <c r="W31" s="34">
        <v>5007.63</v>
      </c>
      <c r="X31" s="35"/>
      <c r="Y31" s="34">
        <v>5007.63</v>
      </c>
      <c r="Z31" s="35"/>
      <c r="AA31" s="25">
        <v>16628</v>
      </c>
    </row>
    <row r="32" spans="1:27" x14ac:dyDescent="0.2">
      <c r="A32" s="21" t="s">
        <v>57</v>
      </c>
      <c r="B32" s="23">
        <v>238177</v>
      </c>
      <c r="C32" s="34">
        <v>8265</v>
      </c>
      <c r="D32" s="35">
        <f>450+37+13+10+20+40+186+947+1188+110+5264</f>
        <v>8265</v>
      </c>
      <c r="E32" s="34">
        <v>11547</v>
      </c>
      <c r="F32" s="35">
        <f>9+2061+56+83+803+20+82+1294+231+79+35+1094+16+50+30+30+60+229+624+300+977+1080+27+1340+16+64+660+135+40+22</f>
        <v>11547</v>
      </c>
      <c r="G32" s="34">
        <v>28487</v>
      </c>
      <c r="H32" s="35">
        <f>9+4713+764+2965+15758+18+3856+404</f>
        <v>28487</v>
      </c>
      <c r="I32" s="34">
        <v>15369</v>
      </c>
      <c r="J32" s="35">
        <f>8557+1486+512+3165+18+1631</f>
        <v>15369</v>
      </c>
      <c r="K32" s="34">
        <v>39084.839999999997</v>
      </c>
      <c r="L32" s="35">
        <f>10+392+22+15+38+8+479+22+1864+1741+300+18+547+1887-17</f>
        <v>7326</v>
      </c>
      <c r="M32" s="34">
        <v>9084.84</v>
      </c>
      <c r="N32" s="35">
        <f>10+2993+1117+5468+1230+18+37+1209</f>
        <v>12082</v>
      </c>
      <c r="O32" s="34">
        <v>9084.84</v>
      </c>
      <c r="P32" s="35">
        <f>10+925+944+1928+32738+8917+39851+3293+68</f>
        <v>88674</v>
      </c>
      <c r="Q32" s="34">
        <v>9084.84</v>
      </c>
      <c r="R32" s="35"/>
      <c r="S32" s="34">
        <v>9084.84</v>
      </c>
      <c r="T32" s="35"/>
      <c r="U32" s="34">
        <v>99084.84</v>
      </c>
      <c r="V32" s="35"/>
      <c r="W32" s="34">
        <v>0</v>
      </c>
      <c r="X32" s="35"/>
      <c r="Y32" s="34">
        <v>0</v>
      </c>
      <c r="Z32" s="35"/>
      <c r="AA32" s="25">
        <v>171750</v>
      </c>
    </row>
    <row r="33" spans="1:27" x14ac:dyDescent="0.2">
      <c r="A33" s="36" t="s">
        <v>32</v>
      </c>
      <c r="B33" s="23">
        <v>14000</v>
      </c>
      <c r="C33" s="34">
        <v>569</v>
      </c>
      <c r="D33" s="35">
        <f>569</f>
        <v>569</v>
      </c>
      <c r="E33" s="34">
        <v>221</v>
      </c>
      <c r="F33" s="35">
        <f>190+31</f>
        <v>221</v>
      </c>
      <c r="G33" s="34">
        <v>1190</v>
      </c>
      <c r="H33" s="35"/>
      <c r="I33" s="34">
        <v>1190</v>
      </c>
      <c r="J33" s="35"/>
      <c r="K33" s="34">
        <v>1547.15</v>
      </c>
      <c r="L33" s="35"/>
      <c r="M33" s="34">
        <v>1547.15</v>
      </c>
      <c r="N33" s="35">
        <f>45</f>
        <v>45</v>
      </c>
      <c r="O33" s="34">
        <v>1547.15</v>
      </c>
      <c r="P33" s="35"/>
      <c r="Q33" s="34">
        <v>1547.15</v>
      </c>
      <c r="R33" s="35"/>
      <c r="S33" s="34">
        <v>1547.15</v>
      </c>
      <c r="T33" s="35"/>
      <c r="U33" s="34">
        <v>1547.15</v>
      </c>
      <c r="V33" s="35"/>
      <c r="W33" s="34">
        <v>1547.15</v>
      </c>
      <c r="X33" s="35"/>
      <c r="Y33" s="34">
        <v>0</v>
      </c>
      <c r="Z33" s="35"/>
      <c r="AA33" s="25">
        <v>835</v>
      </c>
    </row>
    <row r="34" spans="1:27" x14ac:dyDescent="0.2">
      <c r="A34" s="36" t="s">
        <v>58</v>
      </c>
      <c r="B34" s="23">
        <v>18738</v>
      </c>
      <c r="C34" s="34">
        <v>0</v>
      </c>
      <c r="D34" s="35"/>
      <c r="E34" s="34">
        <v>5600</v>
      </c>
      <c r="F34" s="35">
        <v>5800</v>
      </c>
      <c r="G34" s="34">
        <v>0</v>
      </c>
      <c r="H34" s="35"/>
      <c r="I34" s="34">
        <v>0</v>
      </c>
      <c r="J34" s="35"/>
      <c r="K34" s="34">
        <v>5600</v>
      </c>
      <c r="L34" s="35">
        <f>24+6750+250</f>
        <v>7024</v>
      </c>
      <c r="M34" s="34">
        <v>0</v>
      </c>
      <c r="N34" s="35"/>
      <c r="O34" s="34">
        <v>0</v>
      </c>
      <c r="P34" s="35"/>
      <c r="Q34" s="34">
        <v>0</v>
      </c>
      <c r="R34" s="35"/>
      <c r="S34" s="34">
        <v>7538</v>
      </c>
      <c r="T34" s="35"/>
      <c r="U34" s="34">
        <v>0</v>
      </c>
      <c r="V34" s="35"/>
      <c r="W34" s="34">
        <v>0</v>
      </c>
      <c r="X34" s="35"/>
      <c r="Y34" s="34">
        <v>0</v>
      </c>
      <c r="Z34" s="35"/>
      <c r="AA34" s="25">
        <v>12824</v>
      </c>
    </row>
    <row r="35" spans="1:27" x14ac:dyDescent="0.2">
      <c r="A35" s="21" t="s">
        <v>59</v>
      </c>
      <c r="B35" s="23">
        <v>25015</v>
      </c>
      <c r="C35" s="34">
        <v>70883</v>
      </c>
      <c r="D35" s="35">
        <v>70883</v>
      </c>
      <c r="E35" s="34">
        <v>1509</v>
      </c>
      <c r="F35" s="35">
        <f>1509</f>
        <v>1509</v>
      </c>
      <c r="G35" s="34">
        <v>21367</v>
      </c>
      <c r="H35" s="35">
        <v>21367</v>
      </c>
      <c r="I35" s="34">
        <v>7309</v>
      </c>
      <c r="J35" s="35">
        <v>7309</v>
      </c>
      <c r="K35" s="34">
        <v>0</v>
      </c>
      <c r="L35" s="35"/>
      <c r="M35" s="34">
        <v>0</v>
      </c>
      <c r="N35" s="35"/>
      <c r="O35" s="34">
        <v>0</v>
      </c>
      <c r="P35" s="35"/>
      <c r="Q35" s="34">
        <v>0</v>
      </c>
      <c r="R35" s="35"/>
      <c r="S35" s="34">
        <v>0</v>
      </c>
      <c r="T35" s="35"/>
      <c r="U35" s="34">
        <v>0</v>
      </c>
      <c r="V35" s="35"/>
      <c r="W35" s="34">
        <v>0</v>
      </c>
      <c r="X35" s="35"/>
      <c r="Y35" s="34">
        <v>0</v>
      </c>
      <c r="Z35" s="35"/>
      <c r="AA35" s="25">
        <v>101068</v>
      </c>
    </row>
    <row r="36" spans="1:27" x14ac:dyDescent="0.2">
      <c r="A36" s="36" t="s">
        <v>60</v>
      </c>
      <c r="B36" s="23">
        <v>213096</v>
      </c>
      <c r="C36" s="34">
        <v>302852</v>
      </c>
      <c r="D36" s="35">
        <f>96968+10432+195452</f>
        <v>302852</v>
      </c>
      <c r="E36" s="34">
        <v>162963</v>
      </c>
      <c r="F36" s="35">
        <f>8460+154183+320</f>
        <v>162963</v>
      </c>
      <c r="G36" s="34">
        <v>30107</v>
      </c>
      <c r="H36" s="35">
        <f>383+29724</f>
        <v>30107</v>
      </c>
      <c r="I36" s="34">
        <v>8334</v>
      </c>
      <c r="J36" s="35">
        <f>8334</f>
        <v>8334</v>
      </c>
      <c r="K36" s="34">
        <v>27324</v>
      </c>
      <c r="L36" s="35"/>
      <c r="M36" s="34">
        <v>0</v>
      </c>
      <c r="N36" s="35">
        <f>27324+1211</f>
        <v>28535</v>
      </c>
      <c r="O36" s="34">
        <v>0</v>
      </c>
      <c r="P36" s="35">
        <f>1350</f>
        <v>1350</v>
      </c>
      <c r="Q36" s="34">
        <v>26086</v>
      </c>
      <c r="R36" s="35"/>
      <c r="S36" s="34">
        <v>0</v>
      </c>
      <c r="T36" s="35"/>
      <c r="U36" s="34">
        <v>0</v>
      </c>
      <c r="V36" s="35"/>
      <c r="W36" s="34">
        <v>0</v>
      </c>
      <c r="X36" s="35"/>
      <c r="Y36" s="34">
        <v>0</v>
      </c>
      <c r="Z36" s="35"/>
      <c r="AA36" s="25">
        <v>534141</v>
      </c>
    </row>
    <row r="37" spans="1:27" ht="12" customHeight="1" x14ac:dyDescent="0.2">
      <c r="A37" s="26" t="s">
        <v>61</v>
      </c>
      <c r="B37" s="23">
        <v>6535</v>
      </c>
      <c r="C37" s="34">
        <v>6535</v>
      </c>
      <c r="D37" s="37">
        <v>0</v>
      </c>
      <c r="E37" s="34">
        <v>0</v>
      </c>
      <c r="F37" s="37"/>
      <c r="G37" s="34">
        <v>0</v>
      </c>
      <c r="H37" s="37"/>
      <c r="I37" s="34">
        <v>0</v>
      </c>
      <c r="J37" s="37"/>
      <c r="K37" s="34">
        <v>0</v>
      </c>
      <c r="L37" s="37"/>
      <c r="M37" s="34">
        <v>0</v>
      </c>
      <c r="N37" s="37"/>
      <c r="O37" s="34">
        <v>0</v>
      </c>
      <c r="P37" s="37"/>
      <c r="Q37" s="34">
        <v>0</v>
      </c>
      <c r="R37" s="37"/>
      <c r="S37" s="34">
        <v>0</v>
      </c>
      <c r="T37" s="37"/>
      <c r="U37" s="34">
        <v>0</v>
      </c>
      <c r="V37" s="37"/>
      <c r="W37" s="34">
        <v>0</v>
      </c>
      <c r="X37" s="37"/>
      <c r="Y37" s="34">
        <v>0</v>
      </c>
      <c r="Z37" s="37"/>
      <c r="AA37" s="25">
        <v>0</v>
      </c>
    </row>
    <row r="38" spans="1:27" ht="13.5" thickBot="1" x14ac:dyDescent="0.25">
      <c r="A38" s="26" t="s">
        <v>62</v>
      </c>
      <c r="B38" s="38">
        <v>665323</v>
      </c>
      <c r="C38" s="39">
        <v>0</v>
      </c>
      <c r="D38" s="27">
        <v>0</v>
      </c>
      <c r="E38" s="39">
        <v>0</v>
      </c>
      <c r="F38" s="27"/>
      <c r="G38" s="39">
        <v>0</v>
      </c>
      <c r="H38" s="27"/>
      <c r="I38" s="39">
        <v>0</v>
      </c>
      <c r="J38" s="27"/>
      <c r="K38" s="39">
        <v>0</v>
      </c>
      <c r="L38" s="27"/>
      <c r="M38" s="39">
        <v>0</v>
      </c>
      <c r="N38" s="27"/>
      <c r="O38" s="39">
        <v>0</v>
      </c>
      <c r="P38" s="27"/>
      <c r="Q38" s="39">
        <v>0</v>
      </c>
      <c r="R38" s="27"/>
      <c r="S38" s="39">
        <v>0</v>
      </c>
      <c r="T38" s="27"/>
      <c r="U38" s="39">
        <v>0</v>
      </c>
      <c r="V38" s="27"/>
      <c r="W38" s="39">
        <v>0</v>
      </c>
      <c r="X38" s="27"/>
      <c r="Y38" s="39">
        <v>0</v>
      </c>
      <c r="Z38" s="27"/>
      <c r="AA38" s="40">
        <v>0</v>
      </c>
    </row>
    <row r="39" spans="1:27" ht="13.5" thickBot="1" x14ac:dyDescent="0.25">
      <c r="A39" s="41" t="s">
        <v>63</v>
      </c>
      <c r="B39" s="42">
        <f>SUM(B25:B38)</f>
        <v>7341229</v>
      </c>
      <c r="C39" s="42">
        <f>SUM(C25:C38)</f>
        <v>1088728.3333333333</v>
      </c>
      <c r="D39" s="42">
        <f>SUM(D25:D38)</f>
        <v>1088284</v>
      </c>
      <c r="E39" s="42">
        <f>SUM(E25:E38)</f>
        <v>680186.33333333326</v>
      </c>
      <c r="F39" s="42">
        <f>SUM(F25:F38)</f>
        <v>669073</v>
      </c>
      <c r="G39" s="42">
        <f>SUM(G25:G38)</f>
        <v>609287.33333333326</v>
      </c>
      <c r="H39" s="42">
        <f>SUM(H25:H38)</f>
        <v>604177</v>
      </c>
      <c r="I39" s="42">
        <f>SUM(I25:I38)</f>
        <v>549822.33333333326</v>
      </c>
      <c r="J39" s="42">
        <f>SUM(J25:J38)</f>
        <v>543299</v>
      </c>
      <c r="K39" s="42">
        <f>SUM(K25:K38)</f>
        <v>575357.04666666663</v>
      </c>
      <c r="L39" s="42">
        <f>SUM(L25:L38)</f>
        <v>552206</v>
      </c>
      <c r="M39" s="42">
        <f>SUM(M25:M38)</f>
        <v>502683.04666666669</v>
      </c>
      <c r="N39" s="42">
        <f>SUM(N25:N38)</f>
        <v>526443</v>
      </c>
      <c r="O39" s="42">
        <f>SUM(O25:O38)</f>
        <v>511966.04666666669</v>
      </c>
      <c r="P39" s="42">
        <f>SUM(P25:P38)</f>
        <v>607244</v>
      </c>
      <c r="Q39" s="42">
        <f>SUM(Q25:Q38)</f>
        <v>547437.04666666663</v>
      </c>
      <c r="R39" s="42">
        <f>SUM(R25:R38)</f>
        <v>0</v>
      </c>
      <c r="S39" s="42">
        <f>SUM(S25:S38)</f>
        <v>510221.04666666669</v>
      </c>
      <c r="T39" s="42">
        <f>SUM(T25:T38)</f>
        <v>0</v>
      </c>
      <c r="U39" s="42">
        <f>SUM(U25:U38)</f>
        <v>592683.04666666663</v>
      </c>
      <c r="V39" s="42">
        <f>SUM(V25:V38)</f>
        <v>0</v>
      </c>
      <c r="W39" s="42">
        <f>SUM(W25:W38)</f>
        <v>503348.20666666667</v>
      </c>
      <c r="X39" s="42">
        <f>SUM(X25:X38)</f>
        <v>0</v>
      </c>
      <c r="Y39" s="42">
        <f>SUM(Y25:Y38)</f>
        <v>492051.05666666664</v>
      </c>
      <c r="Z39" s="42">
        <f>SUM(Z25:Z38)</f>
        <v>0</v>
      </c>
      <c r="AA39" s="42">
        <f>SUM(AA25:AA38)</f>
        <v>4590726</v>
      </c>
    </row>
    <row r="40" spans="1:27" ht="13.5" thickBot="1" x14ac:dyDescent="0.25">
      <c r="A40" s="43"/>
      <c r="B40" s="31"/>
      <c r="C40" s="31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/>
    </row>
    <row r="41" spans="1:27" ht="13.5" thickBot="1" x14ac:dyDescent="0.25">
      <c r="A41" s="29" t="s">
        <v>64</v>
      </c>
      <c r="B41" s="42">
        <f>B23-B39</f>
        <v>-875505</v>
      </c>
      <c r="C41" s="42">
        <f>C23-C39</f>
        <v>-452375.66666666663</v>
      </c>
      <c r="D41" s="42">
        <f>D23-D39</f>
        <v>-461174</v>
      </c>
      <c r="E41" s="42">
        <f>E23-E39</f>
        <v>-171931.91666666663</v>
      </c>
      <c r="F41" s="42">
        <f>F23-F39</f>
        <v>-178698</v>
      </c>
      <c r="G41" s="42">
        <f>G23-G39</f>
        <v>-146837.66666666663</v>
      </c>
      <c r="H41" s="42">
        <f>H23-H39</f>
        <v>-121075</v>
      </c>
      <c r="I41" s="42">
        <f>I23-I39</f>
        <v>-56495.666666666628</v>
      </c>
      <c r="J41" s="42">
        <f>J23-J39</f>
        <v>-50636</v>
      </c>
      <c r="K41" s="42">
        <f>K23-K39</f>
        <v>-89484.63</v>
      </c>
      <c r="L41" s="42">
        <f>L23-L39</f>
        <v>-60728</v>
      </c>
      <c r="M41" s="42">
        <f>M23-M39</f>
        <v>-48834.380000000063</v>
      </c>
      <c r="N41" s="42">
        <f>N23-N39</f>
        <v>-71863</v>
      </c>
      <c r="O41" s="42">
        <f>O23-O39</f>
        <v>-39516.380000000063</v>
      </c>
      <c r="P41" s="42">
        <f>P23-P39</f>
        <v>-110493.5</v>
      </c>
      <c r="Q41" s="42">
        <f>Q23-Q39</f>
        <v>-30482.630000000005</v>
      </c>
      <c r="R41" s="42">
        <f>R23-R39</f>
        <v>0</v>
      </c>
      <c r="S41" s="42">
        <f>S23-S39</f>
        <v>463051.61999999994</v>
      </c>
      <c r="T41" s="42">
        <f>T23-T39</f>
        <v>0</v>
      </c>
      <c r="U41" s="42">
        <f>U23-U39</f>
        <v>-103299.38</v>
      </c>
      <c r="V41" s="42">
        <f>V23-V39</f>
        <v>0</v>
      </c>
      <c r="W41" s="42">
        <f>W23-W39</f>
        <v>16362.209999999963</v>
      </c>
      <c r="X41" s="42">
        <f>X23-X39</f>
        <v>0</v>
      </c>
      <c r="Y41" s="42">
        <f>Y23-Y39</f>
        <v>-38202.390000000014</v>
      </c>
      <c r="Z41" s="42">
        <f>Z23-Z39</f>
        <v>0</v>
      </c>
      <c r="AA41" s="42">
        <f>AA23-AA39</f>
        <v>-1054667.5</v>
      </c>
    </row>
    <row r="42" spans="1:27" ht="13.5" thickBot="1" x14ac:dyDescent="0.25">
      <c r="A42" s="43"/>
      <c r="B42" s="23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46"/>
    </row>
    <row r="43" spans="1:27" ht="13.5" thickBot="1" x14ac:dyDescent="0.25">
      <c r="A43" s="29" t="s">
        <v>65</v>
      </c>
      <c r="B43" s="42">
        <v>1130295</v>
      </c>
      <c r="C43" s="42">
        <v>1130295</v>
      </c>
      <c r="D43" s="42">
        <v>1130295</v>
      </c>
      <c r="E43" s="42">
        <f t="shared" ref="E43:Z43" si="0">C45</f>
        <v>677919.33333333337</v>
      </c>
      <c r="F43" s="30">
        <f t="shared" si="0"/>
        <v>669121</v>
      </c>
      <c r="G43" s="42">
        <f t="shared" si="0"/>
        <v>505987.41666666674</v>
      </c>
      <c r="H43" s="30">
        <f t="shared" si="0"/>
        <v>490423</v>
      </c>
      <c r="I43" s="42">
        <f t="shared" si="0"/>
        <v>359149.75000000012</v>
      </c>
      <c r="J43" s="30">
        <f t="shared" si="0"/>
        <v>369348</v>
      </c>
      <c r="K43" s="42">
        <f t="shared" si="0"/>
        <v>302654.08333333349</v>
      </c>
      <c r="L43" s="30">
        <f t="shared" si="0"/>
        <v>318712</v>
      </c>
      <c r="M43" s="42">
        <f t="shared" si="0"/>
        <v>213169.45333333348</v>
      </c>
      <c r="N43" s="30">
        <f t="shared" si="0"/>
        <v>257984</v>
      </c>
      <c r="O43" s="42">
        <f t="shared" si="0"/>
        <v>164335.07333333342</v>
      </c>
      <c r="P43" s="30">
        <f t="shared" si="0"/>
        <v>186121</v>
      </c>
      <c r="Q43" s="42">
        <f t="shared" si="0"/>
        <v>124818.69333333336</v>
      </c>
      <c r="R43" s="30">
        <f t="shared" si="0"/>
        <v>75627.5</v>
      </c>
      <c r="S43" s="42">
        <f t="shared" si="0"/>
        <v>94336.063333333354</v>
      </c>
      <c r="T43" s="30">
        <f t="shared" si="0"/>
        <v>75627.5</v>
      </c>
      <c r="U43" s="42">
        <f t="shared" si="0"/>
        <v>557387.68333333335</v>
      </c>
      <c r="V43" s="30">
        <f t="shared" si="0"/>
        <v>75627.5</v>
      </c>
      <c r="W43" s="42">
        <f t="shared" si="0"/>
        <v>454088.30333333334</v>
      </c>
      <c r="X43" s="30">
        <f t="shared" si="0"/>
        <v>75627.5</v>
      </c>
      <c r="Y43" s="42">
        <f t="shared" si="0"/>
        <v>470450.51333333331</v>
      </c>
      <c r="Z43" s="30">
        <f t="shared" si="0"/>
        <v>75627.5</v>
      </c>
      <c r="AA43" s="47">
        <v>1130295</v>
      </c>
    </row>
    <row r="44" spans="1:27" ht="13.5" thickBot="1" x14ac:dyDescent="0.25">
      <c r="A44" s="43"/>
      <c r="B44" s="23"/>
      <c r="C44" s="2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46"/>
    </row>
    <row r="45" spans="1:27" ht="13.5" thickBot="1" x14ac:dyDescent="0.25">
      <c r="A45" s="29" t="s">
        <v>66</v>
      </c>
      <c r="B45" s="42">
        <f>B43+B41</f>
        <v>254790</v>
      </c>
      <c r="C45" s="42">
        <f>C43+C41</f>
        <v>677919.33333333337</v>
      </c>
      <c r="D45" s="42">
        <f>D43+D41</f>
        <v>669121</v>
      </c>
      <c r="E45" s="42">
        <f>E43+E41</f>
        <v>505987.41666666674</v>
      </c>
      <c r="F45" s="42">
        <f t="shared" ref="F45:Z45" si="1">F43+F41</f>
        <v>490423</v>
      </c>
      <c r="G45" s="42">
        <f t="shared" si="1"/>
        <v>359149.75000000012</v>
      </c>
      <c r="H45" s="42">
        <f t="shared" si="1"/>
        <v>369348</v>
      </c>
      <c r="I45" s="42">
        <f t="shared" si="1"/>
        <v>302654.08333333349</v>
      </c>
      <c r="J45" s="42">
        <f t="shared" si="1"/>
        <v>318712</v>
      </c>
      <c r="K45" s="42">
        <f t="shared" si="1"/>
        <v>213169.45333333348</v>
      </c>
      <c r="L45" s="42">
        <f t="shared" si="1"/>
        <v>257984</v>
      </c>
      <c r="M45" s="42">
        <f t="shared" si="1"/>
        <v>164335.07333333342</v>
      </c>
      <c r="N45" s="42">
        <f t="shared" si="1"/>
        <v>186121</v>
      </c>
      <c r="O45" s="42">
        <f t="shared" si="1"/>
        <v>124818.69333333336</v>
      </c>
      <c r="P45" s="42">
        <f t="shared" si="1"/>
        <v>75627.5</v>
      </c>
      <c r="Q45" s="42">
        <f t="shared" si="1"/>
        <v>94336.063333333354</v>
      </c>
      <c r="R45" s="42">
        <f t="shared" si="1"/>
        <v>75627.5</v>
      </c>
      <c r="S45" s="42">
        <f t="shared" si="1"/>
        <v>557387.68333333335</v>
      </c>
      <c r="T45" s="42">
        <f t="shared" si="1"/>
        <v>75627.5</v>
      </c>
      <c r="U45" s="42">
        <f t="shared" si="1"/>
        <v>454088.30333333334</v>
      </c>
      <c r="V45" s="42">
        <f t="shared" si="1"/>
        <v>75627.5</v>
      </c>
      <c r="W45" s="42">
        <f t="shared" si="1"/>
        <v>470450.51333333331</v>
      </c>
      <c r="X45" s="42">
        <f t="shared" si="1"/>
        <v>75627.5</v>
      </c>
      <c r="Y45" s="42">
        <f t="shared" si="1"/>
        <v>432248.12333333329</v>
      </c>
      <c r="Z45" s="42">
        <f t="shared" si="1"/>
        <v>75627.5</v>
      </c>
      <c r="AA45" s="47">
        <v>251103.5</v>
      </c>
    </row>
  </sheetData>
  <mergeCells count="3">
    <mergeCell ref="A2:B2"/>
    <mergeCell ref="D2:E2"/>
    <mergeCell ref="G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dcterms:created xsi:type="dcterms:W3CDTF">2017-04-12T12:53:06Z</dcterms:created>
  <dcterms:modified xsi:type="dcterms:W3CDTF">2017-04-19T08:12:16Z</dcterms:modified>
</cp:coreProperties>
</file>