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3710" tabRatio="818" activeTab="3"/>
  </bookViews>
  <sheets>
    <sheet name="Workings" sheetId="1" r:id="rId1"/>
    <sheet name="Download" sheetId="2" r:id="rId2"/>
    <sheet name="Workings Prior Month" sheetId="3" r:id="rId3"/>
    <sheet name="Summ (F&amp;P Govn)" sheetId="4" r:id="rId4"/>
    <sheet name="Summ (FGB)" sheetId="5" r:id="rId5"/>
    <sheet name="Cross ref Tab" sheetId="6" r:id="rId6"/>
    <sheet name="Budget14-15" sheetId="7" r:id="rId7"/>
    <sheet name="Approved 15-16 budget" sheetId="8" r:id="rId8"/>
    <sheet name="Instructions" sheetId="9" r:id="rId9"/>
    <sheet name="BP signed off" sheetId="10" r:id="rId10"/>
    <sheet name="Summary" sheetId="11" r:id="rId11"/>
    <sheet name="Sheet2" sheetId="12" r:id="rId12"/>
    <sheet name="Sheet1" sheetId="13" r:id="rId13"/>
    <sheet name="Sheet4" sheetId="14" r:id="rId14"/>
  </sheets>
  <definedNames>
    <definedName name="_xlnm._FilterDatabase" localSheetId="0" hidden="1">'Workings'!$A$11:$AK$350</definedName>
    <definedName name="_xlnm.Print_Area" localSheetId="11">'Sheet2'!$A$1:$C$276</definedName>
    <definedName name="_xlnm.Print_Area" localSheetId="3">'Summ (F&amp;P Govn)'!$A$1:$P$119</definedName>
    <definedName name="_xlnm.Print_Area" localSheetId="4">'Summ (FGB)'!$A$1:$O$53</definedName>
    <definedName name="_xlnm.Print_Area" localSheetId="10">'Summary'!$A$1:$C$276</definedName>
    <definedName name="_xlnm.Print_Area" localSheetId="0">'Workings'!$A$1:$N$290</definedName>
    <definedName name="_xlnm.Print_Titles" localSheetId="3">'Summ (F&amp;P Govn)'!$1:$5</definedName>
    <definedName name="_xlnm.Print_Titles" localSheetId="0">'Workings'!$8:$9</definedName>
  </definedNames>
  <calcPr fullCalcOnLoad="1"/>
</workbook>
</file>

<file path=xl/sharedStrings.xml><?xml version="1.0" encoding="utf-8"?>
<sst xmlns="http://schemas.openxmlformats.org/spreadsheetml/2006/main" count="4686" uniqueCount="789">
  <si>
    <t>Cost Centre</t>
  </si>
  <si>
    <t>TOTAL:</t>
  </si>
  <si>
    <t>Estimated Year-end
Cost Centre Balances</t>
  </si>
  <si>
    <t>Instructions</t>
  </si>
  <si>
    <t>A)</t>
  </si>
  <si>
    <t>Exporting the Cost Centre Summary Report</t>
  </si>
  <si>
    <t>1)</t>
  </si>
  <si>
    <t>Open FMS6 in the current financial year</t>
  </si>
  <si>
    <t>2)</t>
  </si>
  <si>
    <t>3)</t>
  </si>
  <si>
    <t>4)</t>
  </si>
  <si>
    <t>In the window that appears, click on the diamond shaped radio button next to 'Full Report'.</t>
  </si>
  <si>
    <t>5)</t>
  </si>
  <si>
    <t>From the drop down menu select 'Tab Separated Values Format' and then click on 'OK'.</t>
  </si>
  <si>
    <t>6)</t>
  </si>
  <si>
    <t>Select the folder in to which you wish to export the file and give the file an appropriate name.</t>
  </si>
  <si>
    <t>7)</t>
  </si>
  <si>
    <t>Select 'OK' to save</t>
  </si>
  <si>
    <t>B)</t>
  </si>
  <si>
    <t>Loading the Exported File on to the Estimated Out-turn Calculator</t>
  </si>
  <si>
    <t>8)</t>
  </si>
  <si>
    <t>9)</t>
  </si>
  <si>
    <t>10)</t>
  </si>
  <si>
    <t>14)</t>
  </si>
  <si>
    <t>15)</t>
  </si>
  <si>
    <t>16)</t>
  </si>
  <si>
    <t>17)</t>
  </si>
  <si>
    <r>
      <t>Estimated Carry Forward Balance</t>
    </r>
    <r>
      <rPr>
        <b/>
        <sz val="12"/>
        <rFont val="Arial"/>
        <family val="2"/>
      </rPr>
      <t xml:space="preserve">  =       </t>
    </r>
  </si>
  <si>
    <t>Time:</t>
  </si>
  <si>
    <t>Date:</t>
  </si>
  <si>
    <t>This report printed</t>
  </si>
  <si>
    <t>Figures from previous report</t>
  </si>
  <si>
    <t>CC No.</t>
  </si>
  <si>
    <t>% spent</t>
  </si>
  <si>
    <t>Cost centre info dated</t>
  </si>
  <si>
    <t>Cost centre balances from previous report</t>
  </si>
  <si>
    <t>Current</t>
  </si>
  <si>
    <t>Previous</t>
  </si>
  <si>
    <t>Previous data dated</t>
  </si>
  <si>
    <t>Under spends</t>
  </si>
  <si>
    <t>Over spends</t>
  </si>
  <si>
    <t>Total teachers' salaries</t>
  </si>
  <si>
    <t>Shenfield High School</t>
  </si>
  <si>
    <t>Change</t>
  </si>
  <si>
    <t xml:space="preserve"> + better         - worse</t>
  </si>
  <si>
    <t>Open the exported file</t>
  </si>
  <si>
    <t>Select the 'Download' worksheet</t>
  </si>
  <si>
    <t>Select the 'Workings' worksheet</t>
  </si>
  <si>
    <t>Highlight and copy the previous data in A2:I280ish</t>
  </si>
  <si>
    <t>Paste into K2 to have a record of the previous months data</t>
  </si>
  <si>
    <t>Paste into the 'Download' worksheet, cell U2</t>
  </si>
  <si>
    <t>Highlight and copy A2:I280ish in the exported file</t>
  </si>
  <si>
    <t>Highlight and hide zero lines, if desired.</t>
  </si>
  <si>
    <t>Print the report</t>
  </si>
  <si>
    <t>Double clicking in the appropriate cells in columns G and H will transfer a positive or negative balance to an equal expenditure or income expectation, reducing the over/underspend for that line to zero.  Alternatively a figure can be typed in or it can be left empty!  Working down these columns is the major task.  The overall carry forward figure will update automatically. Helpful comments can be typed into column I.</t>
  </si>
  <si>
    <r>
      <t xml:space="preserve">Open the previous month's Estimated Out-turn Calculator in Excel.                                   </t>
    </r>
    <r>
      <rPr>
        <b/>
        <sz val="12"/>
        <rFont val="Times New Roman"/>
        <family val="1"/>
      </rPr>
      <t>"SAVE AS" THE SAME NAME WITH A NEW DATE.</t>
    </r>
  </si>
  <si>
    <t>Bring up the Cost Centre Summary by Cost Centre report on the screen by clicking on 'Reports', and selecting 'General Ledger', 'Transactions', 'Cost Centre Summary Transactions', 'Cost Centre Summary By Cost Centre' and then clicking on 'OK' on the screen that appears. The system will automatically default to select all cost centres</t>
  </si>
  <si>
    <t>Click on the 'Export to Disk' icon, which can be found to the left of the 'Print' icon near the top right hand corner of the screen.</t>
  </si>
  <si>
    <t xml:space="preserve">Current cost centre
allocations shown
on report </t>
  </si>
  <si>
    <t>Current cost centre
balances shown on
report</t>
  </si>
  <si>
    <t>Additional income 
expected but not
shown on report</t>
  </si>
  <si>
    <t>Additional expenditure 
expected but not
shown on report</t>
  </si>
  <si>
    <t>Additional income or expenditure:
Notes</t>
  </si>
  <si>
    <t>Copy time and date from column F to column I.  Enter new time and date data into column F.  The time and date in column G will update automatically</t>
  </si>
  <si>
    <t>Admin/Clerical Staff Costs</t>
  </si>
  <si>
    <t>Catering Staff</t>
  </si>
  <si>
    <t>Foreign Assistant</t>
  </si>
  <si>
    <t>Vending Staff</t>
  </si>
  <si>
    <t>Premises Staff</t>
  </si>
  <si>
    <t>Midday Supervisors</t>
  </si>
  <si>
    <t>Music Peri Teachers</t>
  </si>
  <si>
    <t>Teachers-Main Scale</t>
  </si>
  <si>
    <t>Teachers-UPS</t>
  </si>
  <si>
    <t>Leadership</t>
  </si>
  <si>
    <t>Unqual Teachers</t>
  </si>
  <si>
    <t>Cover Supervisors</t>
  </si>
  <si>
    <t>Pastoral Managers</t>
  </si>
  <si>
    <t>Dept Technicians</t>
  </si>
  <si>
    <t>LSA</t>
  </si>
  <si>
    <t>IT Technicians</t>
  </si>
  <si>
    <t>Science Technicians</t>
  </si>
  <si>
    <t>Library Staff</t>
  </si>
  <si>
    <t>Student Services</t>
  </si>
  <si>
    <t>Supply Cost</t>
  </si>
  <si>
    <t>Other Staff Cost</t>
  </si>
  <si>
    <t>Staff Costs Reimbursement</t>
  </si>
  <si>
    <t>Pension Deficiency</t>
  </si>
  <si>
    <t>YPLA Income</t>
  </si>
  <si>
    <t>LEA Income</t>
  </si>
  <si>
    <t>Bwt Forward</t>
  </si>
  <si>
    <t>DFC Income</t>
  </si>
  <si>
    <t>205A</t>
  </si>
  <si>
    <t>DFC Expenditure</t>
  </si>
  <si>
    <t>Donations Income</t>
  </si>
  <si>
    <t>217B</t>
  </si>
  <si>
    <t>Do not use..</t>
  </si>
  <si>
    <t>S106 Income</t>
  </si>
  <si>
    <t>DFE Bid Income</t>
  </si>
  <si>
    <t>Contingency General</t>
  </si>
  <si>
    <t>Art</t>
  </si>
  <si>
    <t>Drama</t>
  </si>
  <si>
    <t>303A</t>
  </si>
  <si>
    <t>Drama Productions</t>
  </si>
  <si>
    <t>Music</t>
  </si>
  <si>
    <t>304A</t>
  </si>
  <si>
    <t>Music Productions</t>
  </si>
  <si>
    <t>English</t>
  </si>
  <si>
    <t>Modern Languages</t>
  </si>
  <si>
    <t>Integrated Hums</t>
  </si>
  <si>
    <t>Do not use....</t>
  </si>
  <si>
    <t>Do not use.....</t>
  </si>
  <si>
    <t>Sociology</t>
  </si>
  <si>
    <t>Science</t>
  </si>
  <si>
    <t>BVE</t>
  </si>
  <si>
    <t>Food Technology</t>
  </si>
  <si>
    <t>315A</t>
  </si>
  <si>
    <t>Do not use......</t>
  </si>
  <si>
    <t>Product Design &amp; Technology</t>
  </si>
  <si>
    <t>Information Technology</t>
  </si>
  <si>
    <t>Textiles Technology</t>
  </si>
  <si>
    <t>Mathematics</t>
  </si>
  <si>
    <t>Physical Education</t>
  </si>
  <si>
    <t>Citizenship/Careers</t>
  </si>
  <si>
    <t>Curriculum Support</t>
  </si>
  <si>
    <t>PASS</t>
  </si>
  <si>
    <t>Psychology</t>
  </si>
  <si>
    <t>Fixtures Expenses</t>
  </si>
  <si>
    <t>Discovery Programme</t>
  </si>
  <si>
    <t>Training for Staff</t>
  </si>
  <si>
    <t>332A</t>
  </si>
  <si>
    <t>Training - AST</t>
  </si>
  <si>
    <t>Media Studies</t>
  </si>
  <si>
    <t>Young Apprentice</t>
  </si>
  <si>
    <t>KS3 Pre-Vocational</t>
  </si>
  <si>
    <t>Tutorial</t>
  </si>
  <si>
    <t>Pastoral-Whole School</t>
  </si>
  <si>
    <t>Pastoral Yr 7</t>
  </si>
  <si>
    <t>Pastoral-Sixth Fm-Raised Money</t>
  </si>
  <si>
    <t>Pastoral JIC-KS3</t>
  </si>
  <si>
    <t>Pastoral LMB-KS4</t>
  </si>
  <si>
    <t>Pastoral -Sixth Form</t>
  </si>
  <si>
    <t>BWD Delivery Group</t>
  </si>
  <si>
    <t>Student Council</t>
  </si>
  <si>
    <t>Year 11-Trident Work Experience</t>
  </si>
  <si>
    <t>Bursary Funding-14-19</t>
  </si>
  <si>
    <t>Do not use.......</t>
  </si>
  <si>
    <t>Pupil Premuim</t>
  </si>
  <si>
    <t>Participation Fund</t>
  </si>
  <si>
    <t>Do not use,</t>
  </si>
  <si>
    <t>Careers Advice</t>
  </si>
  <si>
    <t>Training School Inc</t>
  </si>
  <si>
    <t>360A</t>
  </si>
  <si>
    <t>Training School Exp</t>
  </si>
  <si>
    <t>Football Academy</t>
  </si>
  <si>
    <t>Duke of Edinburgh Award</t>
  </si>
  <si>
    <t>School Improvement</t>
  </si>
  <si>
    <t>Anniversary Celebrations</t>
  </si>
  <si>
    <t>Catering Provisions</t>
  </si>
  <si>
    <t>Catering Costs-Other</t>
  </si>
  <si>
    <t>Communications-Telephone/Fax</t>
  </si>
  <si>
    <t>Departmental Services</t>
  </si>
  <si>
    <t>Exam Fees/Costs</t>
  </si>
  <si>
    <t>First Aid</t>
  </si>
  <si>
    <t>Attendance Initiative</t>
  </si>
  <si>
    <t>Do not use,,</t>
  </si>
  <si>
    <t>508A</t>
  </si>
  <si>
    <t>Do not use,,,</t>
  </si>
  <si>
    <t>Jack Petchey Foundation Awards</t>
  </si>
  <si>
    <t>Library</t>
  </si>
  <si>
    <t>Lockers</t>
  </si>
  <si>
    <t>Vending</t>
  </si>
  <si>
    <t>512A</t>
  </si>
  <si>
    <t>Vending Income</t>
  </si>
  <si>
    <t>Minibus Expenditure</t>
  </si>
  <si>
    <t>Music Tuition</t>
  </si>
  <si>
    <t>Office Expenses-Admin</t>
  </si>
  <si>
    <t>Other Income</t>
  </si>
  <si>
    <t>Hospitality Costs</t>
  </si>
  <si>
    <t>Postage</t>
  </si>
  <si>
    <t>Professional Fees-School</t>
  </si>
  <si>
    <t>Pupil Travel</t>
  </si>
  <si>
    <t>do not use,,,,</t>
  </si>
  <si>
    <t>Do not use,,,,,</t>
  </si>
  <si>
    <t>Staff Recruitment/ Advertising</t>
  </si>
  <si>
    <t>Marketing-Headteacher</t>
  </si>
  <si>
    <t>Pupil Exclusion/Referral</t>
  </si>
  <si>
    <t>Do not use.,</t>
  </si>
  <si>
    <t>Field Study Support</t>
  </si>
  <si>
    <t>Alternative Education-JIC</t>
  </si>
  <si>
    <t>Catering Income</t>
  </si>
  <si>
    <t>Do not use.,.,</t>
  </si>
  <si>
    <t>541A</t>
  </si>
  <si>
    <t>Do not use.,.</t>
  </si>
  <si>
    <t>.Do not use</t>
  </si>
  <si>
    <t>Young Ambassadors</t>
  </si>
  <si>
    <t>Governors</t>
  </si>
  <si>
    <t>Charity Collections</t>
  </si>
  <si>
    <t>IT-Maintenance</t>
  </si>
  <si>
    <t>Parent Donations Nat. West.</t>
  </si>
  <si>
    <t>,do not use</t>
  </si>
  <si>
    <t>Staff Fund</t>
  </si>
  <si>
    <t>Sixth Form Extra Courses</t>
  </si>
  <si>
    <t>Do not use..,,.</t>
  </si>
  <si>
    <t>Communications-Maintenance</t>
  </si>
  <si>
    <t>Masters Income</t>
  </si>
  <si>
    <t>Free School Meals-Students</t>
  </si>
  <si>
    <t>Free School Meals-Staff</t>
  </si>
  <si>
    <t>Alternative Education-MTW</t>
  </si>
  <si>
    <t>..Do not use</t>
  </si>
  <si>
    <t>Do not use...</t>
  </si>
  <si>
    <t>IAG Funding</t>
  </si>
  <si>
    <t>Oasis Centre</t>
  </si>
  <si>
    <t>｣10 Challenge</t>
  </si>
  <si>
    <t>Uniform Grant</t>
  </si>
  <si>
    <t>Do not use.,,,.</t>
  </si>
  <si>
    <t>Cleaning</t>
  </si>
  <si>
    <t>Furniture&amp;Equipment</t>
  </si>
  <si>
    <t>General Buildings&amp;Premises Maint</t>
  </si>
  <si>
    <t>Grounds Upkeep</t>
  </si>
  <si>
    <t>Insurance-Buildings&amp;Contents</t>
  </si>
  <si>
    <t>Rates</t>
  </si>
  <si>
    <t>Lettings&amp;Rents</t>
  </si>
  <si>
    <t>Swimming Pool</t>
  </si>
  <si>
    <t>Water</t>
  </si>
  <si>
    <t>Energy</t>
  </si>
  <si>
    <t>Insurance-Other</t>
  </si>
  <si>
    <t>Insurance Claims-Costs</t>
  </si>
  <si>
    <t>615A</t>
  </si>
  <si>
    <t>Insurance Claims-Income</t>
  </si>
  <si>
    <t>Sports Hall Income</t>
  </si>
  <si>
    <t>640A</t>
  </si>
  <si>
    <t>Sports Hall Exp</t>
  </si>
  <si>
    <t>Bwt Forward-Capital</t>
  </si>
  <si>
    <t>S106 Build Exp</t>
  </si>
  <si>
    <t>DFE Bid Expenditure</t>
  </si>
  <si>
    <t>Do not use.</t>
  </si>
  <si>
    <t>Do not use//</t>
  </si>
  <si>
    <t>Do not use/</t>
  </si>
  <si>
    <t>AGP0101</t>
  </si>
  <si>
    <t>Artificial Pitch Income</t>
  </si>
  <si>
    <t>AGP0201</t>
  </si>
  <si>
    <t>Artificial Pitch Expenditure</t>
  </si>
  <si>
    <t>AGP0202</t>
  </si>
  <si>
    <t>Artifical Pitch Sinking Fund</t>
  </si>
  <si>
    <t>BADDEBT</t>
  </si>
  <si>
    <t>Bad Debt-A/C's Receivable</t>
  </si>
  <si>
    <t>BS401</t>
  </si>
  <si>
    <t>Do not use///</t>
  </si>
  <si>
    <t>BS410</t>
  </si>
  <si>
    <t>BESS-Pilates Course</t>
  </si>
  <si>
    <t>BS414</t>
  </si>
  <si>
    <t>BESS-Yoga Course</t>
  </si>
  <si>
    <t>GTP204</t>
  </si>
  <si>
    <t>GTP Salaries-Exp</t>
  </si>
  <si>
    <t>GTP205</t>
  </si>
  <si>
    <t>GTP-Income-Staff Salarie</t>
  </si>
  <si>
    <t>GTP207</t>
  </si>
  <si>
    <t>GTP-Income-Accomodation/Admin</t>
  </si>
  <si>
    <t>GTP208</t>
  </si>
  <si>
    <t>GTP-Income-Trainee Salaries</t>
  </si>
  <si>
    <t>GTP209</t>
  </si>
  <si>
    <t>GTP-Trv Exps/Repro</t>
  </si>
  <si>
    <t>SCT201</t>
  </si>
  <si>
    <t>SCITT Accom/Admin Inc</t>
  </si>
  <si>
    <t>SCT202</t>
  </si>
  <si>
    <t>SCITT/GTP Mentoring Inc</t>
  </si>
  <si>
    <t>SCT203</t>
  </si>
  <si>
    <t>SCITT Salaries-Income</t>
  </si>
  <si>
    <t>SCT204</t>
  </si>
  <si>
    <t>SCITT Trv Exps/Repro</t>
  </si>
  <si>
    <t>SCT205</t>
  </si>
  <si>
    <t>SCITT Salaries-Ex</t>
  </si>
  <si>
    <t>SF121</t>
  </si>
  <si>
    <t>Golden Hello</t>
  </si>
  <si>
    <t>SFAST</t>
  </si>
  <si>
    <t>AST Funding</t>
  </si>
  <si>
    <t>SFEMAG</t>
  </si>
  <si>
    <t>EMAG Funding</t>
  </si>
  <si>
    <t>SFLAC</t>
  </si>
  <si>
    <t>SF-Looked After Children</t>
  </si>
  <si>
    <t>SFTUIT</t>
  </si>
  <si>
    <t>One-to-One Tuition</t>
  </si>
  <si>
    <t>SG102</t>
  </si>
  <si>
    <t>Sportivate Income</t>
  </si>
  <si>
    <t>SG150</t>
  </si>
  <si>
    <t>School Games Expenditure</t>
  </si>
  <si>
    <t>SG150A</t>
  </si>
  <si>
    <t>School Games Income</t>
  </si>
  <si>
    <t>SG151</t>
  </si>
  <si>
    <t>Sportivate Expenditure</t>
  </si>
  <si>
    <t>SG152</t>
  </si>
  <si>
    <t>School Games -SLA</t>
  </si>
  <si>
    <t>SG152A</t>
  </si>
  <si>
    <t>School Games-SLA Income</t>
  </si>
  <si>
    <t>SKI</t>
  </si>
  <si>
    <t>Do not use???</t>
  </si>
  <si>
    <t>TR907</t>
  </si>
  <si>
    <t>New York - February 2013</t>
  </si>
  <si>
    <t>TR908</t>
  </si>
  <si>
    <t>Stratford Station Training Schoo</t>
  </si>
  <si>
    <t>TR910</t>
  </si>
  <si>
    <t>Italy-April 2012</t>
  </si>
  <si>
    <t>TR911</t>
  </si>
  <si>
    <t>V &amp; A MUSUEM - 30/3/12</t>
  </si>
  <si>
    <t>TR912</t>
  </si>
  <si>
    <t>Trip Admin Fee</t>
  </si>
  <si>
    <t>TR913</t>
  </si>
  <si>
    <t>Trip Contingency</t>
  </si>
  <si>
    <t>TR914</t>
  </si>
  <si>
    <t>Trip Balances/Hardship Fund</t>
  </si>
  <si>
    <t>TR915</t>
  </si>
  <si>
    <t>Valkenburg-July 2012</t>
  </si>
  <si>
    <t>TR916</t>
  </si>
  <si>
    <t>Summer Camp</t>
  </si>
  <si>
    <t>TR917</t>
  </si>
  <si>
    <t>VA Museum</t>
  </si>
  <si>
    <t>TR919</t>
  </si>
  <si>
    <t>Our Country's Good - 26/02/2013</t>
  </si>
  <si>
    <t>TR920</t>
  </si>
  <si>
    <t>Paris - July 2012</t>
  </si>
  <si>
    <t>TR922</t>
  </si>
  <si>
    <t>Disneyland Paris Music Trip 2012</t>
  </si>
  <si>
    <t>TR926</t>
  </si>
  <si>
    <t>The Mousetrap - 29/01/13</t>
  </si>
  <si>
    <t>TR927</t>
  </si>
  <si>
    <t>Lee Valley Farm-June 2012</t>
  </si>
  <si>
    <t>TR929</t>
  </si>
  <si>
    <t>Los Angeles-July 2013</t>
  </si>
  <si>
    <t>TR930</t>
  </si>
  <si>
    <t>Slapton-Geography 3/8 FEB 2013</t>
  </si>
  <si>
    <t>TR932</t>
  </si>
  <si>
    <t>BVE Revision Conference - 19/3/1</t>
  </si>
  <si>
    <t>TR935</t>
  </si>
  <si>
    <t>39 Steps - 27/2/13</t>
  </si>
  <si>
    <t>TR937</t>
  </si>
  <si>
    <t>Museum of London - 4/5/12</t>
  </si>
  <si>
    <t>TR938</t>
  </si>
  <si>
    <t>Higher Education Fair</t>
  </si>
  <si>
    <t>TR941</t>
  </si>
  <si>
    <t>Thorpe Park-19/07//12</t>
  </si>
  <si>
    <t>TR942</t>
  </si>
  <si>
    <t>A Doll's House - 16/04/13</t>
  </si>
  <si>
    <t>TR943</t>
  </si>
  <si>
    <t>War Horse -25/9/12</t>
  </si>
  <si>
    <t>TR945</t>
  </si>
  <si>
    <t>Canal Trip '12</t>
  </si>
  <si>
    <t>TR946</t>
  </si>
  <si>
    <t>Chelmsford Museum -23.11.12</t>
  </si>
  <si>
    <t>TR947</t>
  </si>
  <si>
    <t>empty</t>
  </si>
  <si>
    <t>TR955</t>
  </si>
  <si>
    <t>Can we Talk About This - 15/3/12</t>
  </si>
  <si>
    <t>TR956</t>
  </si>
  <si>
    <t>Shrek - 3/5/12</t>
  </si>
  <si>
    <t>TR957</t>
  </si>
  <si>
    <t>Ski Trip-Feb 2013</t>
  </si>
  <si>
    <t>TR959</t>
  </si>
  <si>
    <t>Sweeney Todd-29/05/2012</t>
  </si>
  <si>
    <t>TR960</t>
  </si>
  <si>
    <t>Flatford Mill</t>
  </si>
  <si>
    <t>TR961</t>
  </si>
  <si>
    <t>Jack &amp; the Beanstalk - 18/12/12</t>
  </si>
  <si>
    <t>TR964</t>
  </si>
  <si>
    <t>Blood Brother-23/10/12</t>
  </si>
  <si>
    <t>TR965</t>
  </si>
  <si>
    <t>NOT  IN USE</t>
  </si>
  <si>
    <t>TR966</t>
  </si>
  <si>
    <t>Music Conference 25/01/2013</t>
  </si>
  <si>
    <t>TR967</t>
  </si>
  <si>
    <t>Epp. Forest Field Trip 18/09/12</t>
  </si>
  <si>
    <t>TR969</t>
  </si>
  <si>
    <t>Woman in Black-22/03/2012</t>
  </si>
  <si>
    <t>YPLA General Annual Grant</t>
  </si>
  <si>
    <t>A - GAG School Budget Share</t>
  </si>
  <si>
    <t>H - Other income</t>
  </si>
  <si>
    <t>Capital Income</t>
  </si>
  <si>
    <t>I - Capital Balance brought forward</t>
  </si>
  <si>
    <t>J - Capital Income</t>
  </si>
  <si>
    <t>Salaries - Teaching Staff</t>
  </si>
  <si>
    <t>K - Teachers</t>
  </si>
  <si>
    <t>L - Supply Teachers</t>
  </si>
  <si>
    <t>Salaries - Education Support</t>
  </si>
  <si>
    <t>N - Other Educational Support Staff</t>
  </si>
  <si>
    <t>O - Technicians</t>
  </si>
  <si>
    <t>P - LGPS deficit</t>
  </si>
  <si>
    <t>Q - Other funded staff</t>
  </si>
  <si>
    <t>Salaries - Other</t>
  </si>
  <si>
    <t>R - Administrative Staff</t>
  </si>
  <si>
    <t>S - Premises</t>
  </si>
  <si>
    <t>T - Catering Staff</t>
  </si>
  <si>
    <t>Maintenance of premises</t>
  </si>
  <si>
    <t>U - Structural Maintenance Plan</t>
  </si>
  <si>
    <t>V - Buildings Upkeep</t>
  </si>
  <si>
    <t>W - Grounds Upkeep</t>
  </si>
  <si>
    <t>X - Swimming Pool repairs &amp; Maintenance</t>
  </si>
  <si>
    <t>Other Occupancy Costs</t>
  </si>
  <si>
    <t>Y - Cleaning</t>
  </si>
  <si>
    <t>Z - Fuel</t>
  </si>
  <si>
    <t>AA - Water</t>
  </si>
  <si>
    <t>BB - Rent &amp; Rates</t>
  </si>
  <si>
    <t>CC - Insurance</t>
  </si>
  <si>
    <t>Educational Supplies &amp; Services</t>
  </si>
  <si>
    <t>DD - Facilities</t>
  </si>
  <si>
    <t>EE - Examinations</t>
  </si>
  <si>
    <t>FF - Headteacher's budgets</t>
  </si>
  <si>
    <t>GG - Pastoral</t>
  </si>
  <si>
    <t>HH - Pupil Support</t>
  </si>
  <si>
    <t>II - Other Educational</t>
  </si>
  <si>
    <t>KK - Schools Partnership expenditure</t>
  </si>
  <si>
    <t>LL - Pupil Transport</t>
  </si>
  <si>
    <t>MM - fees for external educational advisors</t>
  </si>
  <si>
    <t>NN - Telephones</t>
  </si>
  <si>
    <t>Other Supplies &amp; Services</t>
  </si>
  <si>
    <t>OO - Catering</t>
  </si>
  <si>
    <t>PP - Professional Fees</t>
  </si>
  <si>
    <t>QQ - Management Support</t>
  </si>
  <si>
    <t>Furniture &amp; Equipment</t>
  </si>
  <si>
    <t>RR - Furniture</t>
  </si>
  <si>
    <t>Technology Costs</t>
  </si>
  <si>
    <t>SS - IT services</t>
  </si>
  <si>
    <t>TT - Reprographics</t>
  </si>
  <si>
    <t>Staff Development</t>
  </si>
  <si>
    <t>UU - Staff Training</t>
  </si>
  <si>
    <t>VV - School Games Organiser</t>
  </si>
  <si>
    <t>Other GAG expenditure</t>
  </si>
  <si>
    <t>WW - employee expenses</t>
  </si>
  <si>
    <t>YY - Start up Grant</t>
  </si>
  <si>
    <t>Non GAG expenditure</t>
  </si>
  <si>
    <t>ZZ - Astro Pitch</t>
  </si>
  <si>
    <t>ZA - Sports Hall expenditure</t>
  </si>
  <si>
    <t>ZB -2012-13 contingencies</t>
  </si>
  <si>
    <t>S - Premises Staff</t>
  </si>
  <si>
    <t>G - Brought Forward</t>
  </si>
  <si>
    <t>ZC - Capital Expenditure</t>
  </si>
  <si>
    <t>TRIPS</t>
  </si>
  <si>
    <t>2012-13</t>
  </si>
  <si>
    <t>2011-12</t>
  </si>
  <si>
    <t>Diff</t>
  </si>
  <si>
    <t>YPLA General Annual Grant (GAG)</t>
  </si>
  <si>
    <t>Prior</t>
  </si>
  <si>
    <t>Variance</t>
  </si>
  <si>
    <t>SALARIES: TEACHING STAFF</t>
  </si>
  <si>
    <t>Teachers</t>
  </si>
  <si>
    <t>,=SUMIF('Current Month'!O:O,A62,'Current Month'!N:N)</t>
  </si>
  <si>
    <t>Supply Teachers</t>
  </si>
  <si>
    <t>SALARIES: EDUCATION SUPPORT</t>
  </si>
  <si>
    <t>Technicians</t>
  </si>
  <si>
    <t>LGPS deficit</t>
  </si>
  <si>
    <t>Other Funded Staff</t>
  </si>
  <si>
    <t>SALARIES: OTHER</t>
  </si>
  <si>
    <t>Administrative Staff</t>
  </si>
  <si>
    <t>MAINTENANCE OF PREMISES</t>
  </si>
  <si>
    <t xml:space="preserve"> </t>
  </si>
  <si>
    <t>Structural Maintenance Plan</t>
  </si>
  <si>
    <t>Buildings - Upkeep</t>
  </si>
  <si>
    <t>Grounds - Upkeep</t>
  </si>
  <si>
    <t>Swimming Pool Repairs &amp; Maint.</t>
  </si>
  <si>
    <t>OTHER OCCUPANCY COSTS</t>
  </si>
  <si>
    <t>Fuel</t>
  </si>
  <si>
    <t>Rent and Rates</t>
  </si>
  <si>
    <t>Insurance</t>
  </si>
  <si>
    <t>EDUCATIONAL SUPPLIES &amp; SERVICES</t>
  </si>
  <si>
    <t xml:space="preserve">Faculties </t>
  </si>
  <si>
    <t>Examinations</t>
  </si>
  <si>
    <t>Head teacher budgets</t>
  </si>
  <si>
    <t>Pastoral</t>
  </si>
  <si>
    <t>Pupil Support</t>
  </si>
  <si>
    <t xml:space="preserve">Other Educational </t>
  </si>
  <si>
    <t>Schools Partnership Expenditure</t>
  </si>
  <si>
    <t>Pupil Transport</t>
  </si>
  <si>
    <t>Fees for External educational advisors</t>
  </si>
  <si>
    <t>OTHER SUPPLIES &amp; SERVICES</t>
  </si>
  <si>
    <t>Telephones</t>
  </si>
  <si>
    <t>Catering</t>
  </si>
  <si>
    <t>Professional Fees Exp.</t>
  </si>
  <si>
    <t>Management Support</t>
  </si>
  <si>
    <t>FURNITURE &amp; EQUIPMENT: not capitalised</t>
  </si>
  <si>
    <t>Furniture</t>
  </si>
  <si>
    <t>TECHNOLOGY COSTS: not capitalised</t>
  </si>
  <si>
    <t>IT Services</t>
  </si>
  <si>
    <t>Reprographics</t>
  </si>
  <si>
    <t>STAFF DEVELOPMENT</t>
  </si>
  <si>
    <t>Staff Training</t>
  </si>
  <si>
    <t>School Games Organiser</t>
  </si>
  <si>
    <t>OTHER GAG EXPENDITURE</t>
  </si>
  <si>
    <t>Other Employees Expenses</t>
  </si>
  <si>
    <t>Staff Transport</t>
  </si>
  <si>
    <t>Start Up grant B assessed</t>
  </si>
  <si>
    <t>NON  GAG EXPENDITURE</t>
  </si>
  <si>
    <t>Astro Pitch</t>
  </si>
  <si>
    <t>,</t>
  </si>
  <si>
    <t>Cross ref</t>
  </si>
  <si>
    <t/>
  </si>
  <si>
    <t>CAPITAL INCOME</t>
  </si>
  <si>
    <t>Educational Support Staff</t>
  </si>
  <si>
    <t>Trips</t>
  </si>
  <si>
    <t>Other</t>
  </si>
  <si>
    <t>Capital Expenditure</t>
  </si>
  <si>
    <t xml:space="preserve">Misc </t>
  </si>
  <si>
    <t>GAG School Budget</t>
  </si>
  <si>
    <t>Brought Forward</t>
  </si>
  <si>
    <t>Capital Balance B/F</t>
  </si>
  <si>
    <t>Misc unallocated Control</t>
  </si>
  <si>
    <t xml:space="preserve">2012/13 </t>
  </si>
  <si>
    <t>Prior Period Cum Outurn Variance</t>
  </si>
  <si>
    <t>Change in Variance from Prior period</t>
  </si>
  <si>
    <t>Comment</t>
  </si>
  <si>
    <t>Unallocated code</t>
  </si>
  <si>
    <t>Prior Period Outturn</t>
  </si>
  <si>
    <t>Year to Date     Cum Outturn</t>
  </si>
  <si>
    <t>Year to Date     Cum Outturn Variance</t>
  </si>
  <si>
    <t>Current Expenditure</t>
  </si>
  <si>
    <t>Current Surplus</t>
  </si>
  <si>
    <t>Capital</t>
  </si>
  <si>
    <t>CAPITAL EXPENDITURE</t>
  </si>
  <si>
    <t>Capital  Surplus</t>
  </si>
  <si>
    <t>Current Income</t>
  </si>
  <si>
    <t>Capital exp1</t>
  </si>
  <si>
    <t>Capital exp2</t>
  </si>
  <si>
    <t xml:space="preserve">Total Surplus </t>
  </si>
  <si>
    <t>CURRENT  EXPENDITURE</t>
  </si>
  <si>
    <t>CURRENT INCOME</t>
  </si>
  <si>
    <t>EFA Capital Maint-Roofing-Inc</t>
  </si>
  <si>
    <t>EFA Capital Maint. Pipes Income</t>
  </si>
  <si>
    <t>Staffroom Fund</t>
  </si>
  <si>
    <t>EFA Capital Maint-Roofing-Exp</t>
  </si>
  <si>
    <t>EFA Capital Maint. Pipes EXp</t>
  </si>
  <si>
    <t>Maths in Action</t>
  </si>
  <si>
    <t>We Will Rock You - 16/1/13</t>
  </si>
  <si>
    <t>Mersea Centre - 14th/16th Jun 13</t>
  </si>
  <si>
    <t>Poetry Live - English - 1.3.13</t>
  </si>
  <si>
    <t>354A</t>
  </si>
  <si>
    <t>Pupil Premium-Catch Up</t>
  </si>
  <si>
    <t>Split Site Allowance</t>
  </si>
  <si>
    <t>Epping Forest - Biology Feb. '13</t>
  </si>
  <si>
    <t>Copy  Workings (whole worksheet) and  paste special to Workings carried forward</t>
  </si>
  <si>
    <t>New notes for summary to be added</t>
  </si>
  <si>
    <t>EFA Capital Maint-Security-Inc</t>
  </si>
  <si>
    <t>BAP</t>
  </si>
  <si>
    <t>Stretch &amp; Challenge</t>
  </si>
  <si>
    <t>£10 Challenge</t>
  </si>
  <si>
    <t>EFA Capital Maint-Security-Exp</t>
  </si>
  <si>
    <t>Do not use</t>
  </si>
  <si>
    <t>Adventure Island PASS - 22/5/13</t>
  </si>
  <si>
    <t>Ski Trip 2014</t>
  </si>
  <si>
    <t>Thorpe Park - BVE - 25.4.13</t>
  </si>
  <si>
    <t>Wicked - 16/5/13</t>
  </si>
  <si>
    <t>Movement in Virement from November 2012 ( first report 2011/12 ) to April 2013</t>
  </si>
  <si>
    <t>Back up required</t>
  </si>
  <si>
    <t>Prior Periods  Revised BP</t>
  </si>
  <si>
    <t>Prior Periods Virements</t>
  </si>
  <si>
    <t>Current Period Virements</t>
  </si>
  <si>
    <t>Original Budget</t>
  </si>
  <si>
    <t>Revised Budget</t>
  </si>
  <si>
    <t>Go to Workings tab, On Workings highlight G12:I350. Then press 'delete' key</t>
  </si>
  <si>
    <t>Pastoral Staff</t>
  </si>
  <si>
    <t>EFA Income</t>
  </si>
  <si>
    <t>Bwt Fwd - Restricted Fund</t>
  </si>
  <si>
    <t>Bwt Fwd - Unrestricted</t>
  </si>
  <si>
    <t>Contingency - Unrestricted</t>
  </si>
  <si>
    <t>Contingency Restricted</t>
  </si>
  <si>
    <t>Social Sciences</t>
  </si>
  <si>
    <t>Vocational Animals</t>
  </si>
  <si>
    <t>Pupil Premium Staffing</t>
  </si>
  <si>
    <t>Summer School</t>
  </si>
  <si>
    <t>Cricket School</t>
  </si>
  <si>
    <t>School Improvement - Buildings</t>
  </si>
  <si>
    <t>Irrecoverable VAT</t>
  </si>
  <si>
    <t>Licences/Subscriptions/Fees</t>
  </si>
  <si>
    <t>Summer Works 2013</t>
  </si>
  <si>
    <t>TR906</t>
  </si>
  <si>
    <t>Science Textbooks</t>
  </si>
  <si>
    <t>Admin Fee</t>
  </si>
  <si>
    <t>West Side Story - 11.9.13</t>
  </si>
  <si>
    <t>One Man Two Guvnors - 12.2.14</t>
  </si>
  <si>
    <t>'Once' - Phoenix Theatre - 21.10</t>
  </si>
  <si>
    <t>Colchester Zoo BVE - 18.11.13</t>
  </si>
  <si>
    <t>Billy Elliot - 23.01.14</t>
  </si>
  <si>
    <t>Barcelona Netball Tour - 24.5.14</t>
  </si>
  <si>
    <t>Epp. Forest Field Trip 6/21-6-13</t>
  </si>
  <si>
    <t>Woman in Black-11/03/2014</t>
  </si>
  <si>
    <t>NEET Intervention Activities</t>
  </si>
  <si>
    <t>SLT</t>
  </si>
  <si>
    <t>SCITT/Trainee Salaries Inc</t>
  </si>
  <si>
    <t>TR901</t>
  </si>
  <si>
    <t>Science Revision Guide/Workbook</t>
  </si>
  <si>
    <t>TR902</t>
  </si>
  <si>
    <t>Science Revision Guide Workbook</t>
  </si>
  <si>
    <t>TR904</t>
  </si>
  <si>
    <t>PE Revision Seminar - 28/3/14</t>
  </si>
  <si>
    <t>TR905</t>
  </si>
  <si>
    <t>Maths Revision Conf. -  7/3/14</t>
  </si>
  <si>
    <t>TR928</t>
  </si>
  <si>
    <t>Science Revision Guide &amp; Workboo</t>
  </si>
  <si>
    <t>Harry Potter - 24/1/14</t>
  </si>
  <si>
    <t xml:space="preserve">Estimated Carry Forward Balance  =       </t>
  </si>
  <si>
    <t>-</t>
  </si>
  <si>
    <t>1a</t>
  </si>
  <si>
    <t>Only for variances over £1,000</t>
  </si>
  <si>
    <t>Year end journals</t>
  </si>
  <si>
    <t>TR903</t>
  </si>
  <si>
    <t>Ski Trip 2015</t>
  </si>
  <si>
    <t>TR909</t>
  </si>
  <si>
    <t>Cricket Course - Easter 2014</t>
  </si>
  <si>
    <t>TR918</t>
  </si>
  <si>
    <t>Cape Town Tour - July 2014</t>
  </si>
  <si>
    <t>TR921</t>
  </si>
  <si>
    <t>Torquay Tour - 8/11.7.14</t>
  </si>
  <si>
    <t>TR923</t>
  </si>
  <si>
    <t>New York - October 2014</t>
  </si>
  <si>
    <t>TR924</t>
  </si>
  <si>
    <t>Epping Forest - Biology 8/9.5.14</t>
  </si>
  <si>
    <t>Epp. Forest Field Trip 2/5/14</t>
  </si>
  <si>
    <t>EFA Capital Maint Pipes 2014-Inc</t>
  </si>
  <si>
    <t>EFA-Capital Maint-Pipes 2014-Exp</t>
  </si>
  <si>
    <t>Cape Town Tour - Feb.'15</t>
  </si>
  <si>
    <t>TR925</t>
  </si>
  <si>
    <t>Walton-on-theNaze  9/7/14</t>
  </si>
  <si>
    <t>TR931</t>
  </si>
  <si>
    <t>Cutty Sark - 2.6.14</t>
  </si>
  <si>
    <t>TR933</t>
  </si>
  <si>
    <t>Foot.Acad. Miami Tour Mar/Apr 15</t>
  </si>
  <si>
    <t>TR934</t>
  </si>
  <si>
    <t>TechMix Digital Festival - 3.6.1</t>
  </si>
  <si>
    <t>TR936</t>
  </si>
  <si>
    <t>Basildon Bowl - 6.7.14</t>
  </si>
  <si>
    <t>Performing Arts Professionals</t>
  </si>
  <si>
    <t>Creative Writing</t>
  </si>
  <si>
    <t>Geography</t>
  </si>
  <si>
    <t>History</t>
  </si>
  <si>
    <t>Business Studies</t>
  </si>
  <si>
    <t>Design &amp; Technology</t>
  </si>
  <si>
    <t>Citizenship</t>
  </si>
  <si>
    <t>Literacy - Whole School</t>
  </si>
  <si>
    <t>Numeracy - Whole School</t>
  </si>
  <si>
    <t>Learning Trollies</t>
  </si>
  <si>
    <t>STEM</t>
  </si>
  <si>
    <t>Engineering</t>
  </si>
  <si>
    <t>Pastoral/JCookson</t>
  </si>
  <si>
    <t>Pastoral/ JIComerford</t>
  </si>
  <si>
    <t>Primary Liaison</t>
  </si>
  <si>
    <t>Careers</t>
  </si>
  <si>
    <t>Parent Donations</t>
  </si>
  <si>
    <t>School GSLA</t>
  </si>
  <si>
    <t>Slapton-Geography 8/13 Feb 2015</t>
  </si>
  <si>
    <t>Mersea Centre - 10th-12th Jun 15</t>
  </si>
  <si>
    <t>TR939</t>
  </si>
  <si>
    <t>Sleeping Beauty Panto - 16.12.14</t>
  </si>
  <si>
    <t>TR940</t>
  </si>
  <si>
    <t>Epping Forest Fld.Trip - 17.9.14</t>
  </si>
  <si>
    <t>TR944</t>
  </si>
  <si>
    <t>Bank of England/Ol Pk - 16.12.14</t>
  </si>
  <si>
    <t>The Curious Incident-29.09.14</t>
  </si>
  <si>
    <t>TR948</t>
  </si>
  <si>
    <t>OCR AS Chemistry Textbook</t>
  </si>
  <si>
    <t>TR949</t>
  </si>
  <si>
    <t>Ghost Stories - 16.10.14</t>
  </si>
  <si>
    <t>TR950</t>
  </si>
  <si>
    <t>Royal Soc. of Chemistry -9.10.14</t>
  </si>
  <si>
    <t>TR951</t>
  </si>
  <si>
    <t>Disneyland,Paris-13/16.7.15</t>
  </si>
  <si>
    <t>TR952</t>
  </si>
  <si>
    <t>'John' - 18.12.14</t>
  </si>
  <si>
    <t>Dick Whittington</t>
  </si>
  <si>
    <t>Colchester Zoo BVE - 7.1.15</t>
  </si>
  <si>
    <t>TR9944</t>
  </si>
  <si>
    <t>OCR AS Biology Text Books</t>
  </si>
  <si>
    <t>Financial Year</t>
  </si>
  <si>
    <t>2014/15</t>
  </si>
  <si>
    <t>Fund</t>
  </si>
  <si>
    <t>All</t>
  </si>
  <si>
    <t>General Contingency  2012/13</t>
  </si>
  <si>
    <t>Teaching Staff</t>
  </si>
  <si>
    <t>Premises Staffing</t>
  </si>
  <si>
    <t>Admin Staffing</t>
  </si>
  <si>
    <t>Other Staff Costs</t>
  </si>
  <si>
    <t>Maintenance of Premises</t>
  </si>
  <si>
    <t>Other Occupational Costs</t>
  </si>
  <si>
    <t>Other Supplies and Services</t>
  </si>
  <si>
    <t>ICT Costs (Non Capital)</t>
  </si>
  <si>
    <t>Pupil Premium</t>
  </si>
  <si>
    <t>Head Teachers Budgets</t>
  </si>
  <si>
    <t>Allocated Budget</t>
  </si>
  <si>
    <t>GAG funding</t>
  </si>
  <si>
    <t>Other Govt Grants</t>
  </si>
  <si>
    <t>Total INCOME</t>
  </si>
  <si>
    <t>Capitation/ Curriculum</t>
  </si>
  <si>
    <t>Total Expenditure</t>
  </si>
  <si>
    <t>Reserves</t>
  </si>
  <si>
    <t>Balanced Budget</t>
  </si>
  <si>
    <t>Analysis of Budget</t>
  </si>
  <si>
    <t>Teachers Pay as %age of GAG</t>
  </si>
  <si>
    <t>Learning Support Staff as %age of GAG</t>
  </si>
  <si>
    <t>Other Support Staff as %age of GAG</t>
  </si>
  <si>
    <t>Total Staff as %age of GAG</t>
  </si>
  <si>
    <t>Total Staff as %age of Total Income</t>
  </si>
  <si>
    <t>EFA Capital Windows 2015 Income</t>
  </si>
  <si>
    <t>DT &amp; Voc Productions</t>
  </si>
  <si>
    <t>Year 11- Work Experience</t>
  </si>
  <si>
    <t>Devolved Formula Capital</t>
  </si>
  <si>
    <t>EFA Windows 2015 Exp</t>
  </si>
  <si>
    <t>School Games</t>
  </si>
  <si>
    <t>SGO Salary Income</t>
  </si>
  <si>
    <t>PE Revision Seminar - 18/3/15</t>
  </si>
  <si>
    <t>National Football Final - 6.5.15</t>
  </si>
  <si>
    <t>San Francisco - October 2015</t>
  </si>
  <si>
    <t>Thro'  Deep Dark Woods-10.12.14</t>
  </si>
  <si>
    <t>Holocaust Talk - 22.1.15</t>
  </si>
  <si>
    <t>Essex Record Office-23.1.15</t>
  </si>
  <si>
    <t>Stubbers -  16.03.15</t>
  </si>
  <si>
    <t>Ski Trip 2016</t>
  </si>
  <si>
    <t>Les Miserables  30th April 2015</t>
  </si>
  <si>
    <t>Lake Garda Music Tour 2016</t>
  </si>
  <si>
    <t>Aladdin - 10.12.15</t>
  </si>
  <si>
    <t>Our Country's Good - 8.9.15</t>
  </si>
  <si>
    <t>Hog Roast - 10.07.15</t>
  </si>
  <si>
    <t>Colchester Zoo - Biology 11.3.15</t>
  </si>
  <si>
    <t>NAT'L HISTORY MUSEUM 14/07/15</t>
  </si>
  <si>
    <t>The Lion King - 13.5.15</t>
  </si>
  <si>
    <t>Stubbers Adv.Cent. - 22-24/06/16</t>
  </si>
  <si>
    <t>Loughborough Uni. 25.11.14</t>
  </si>
  <si>
    <t>Tate Britain - 11.3.15</t>
  </si>
  <si>
    <t>Fest. of the Spoken Nerd-16.1.15</t>
  </si>
  <si>
    <t>STEM Roadshow 10.12.14</t>
  </si>
  <si>
    <t>The Globe Theatre - 05.05.15</t>
  </si>
  <si>
    <t>Yr 11 Prom 2016</t>
  </si>
  <si>
    <t>Higher Education Fair 01.07.15</t>
  </si>
  <si>
    <t>Eastbourne Cricket Tour Apr.'15</t>
  </si>
  <si>
    <t>Metamorphosis - 15.10.15</t>
  </si>
  <si>
    <t>Essex Roadster 2015</t>
  </si>
  <si>
    <t>Thorpe Park - 20.7.15</t>
  </si>
  <si>
    <t>Year 11 Prom - 02.07.15</t>
  </si>
  <si>
    <t>Treasure Island - 18.3.15</t>
  </si>
  <si>
    <t>Epp. Forest Field Trip 7/8.05.15</t>
  </si>
  <si>
    <t>Woman in Black-10/11/2015</t>
  </si>
  <si>
    <t>Outturn 2015/16</t>
  </si>
  <si>
    <t>2015/16</t>
  </si>
  <si>
    <t xml:space="preserve"> XREF Code Required</t>
  </si>
  <si>
    <t>Revenue Budget Summary 2015-16</t>
  </si>
  <si>
    <t>September 2015 - August 2016</t>
  </si>
  <si>
    <t>2015-16</t>
  </si>
  <si>
    <t>Slapton-Geography 1/5 Feb 2016</t>
  </si>
  <si>
    <t>Cricket Academy Kit</t>
  </si>
  <si>
    <t>Barcelona Football Tour May '16</t>
  </si>
  <si>
    <t>Football Academy Kit 2015</t>
  </si>
  <si>
    <t>o.time</t>
  </si>
  <si>
    <t>Pupil Premium drop</t>
  </si>
  <si>
    <t>Vacancy</t>
  </si>
  <si>
    <t>Cover</t>
  </si>
  <si>
    <t>Nil cost</t>
  </si>
  <si>
    <t>peri par</t>
  </si>
  <si>
    <t>Or red.</t>
  </si>
  <si>
    <t>Geog</t>
  </si>
  <si>
    <t>taxis</t>
  </si>
  <si>
    <t>To correct LE &amp; FM</t>
  </si>
  <si>
    <t>Backpay etc. Est</t>
  </si>
  <si>
    <t>Maternity</t>
  </si>
  <si>
    <t>Changes each month</t>
  </si>
  <si>
    <t xml:space="preserve"> photocopying - changes each month</t>
  </si>
  <si>
    <t>Billy Elliot - 28.1.16</t>
  </si>
  <si>
    <t>New York - October 2016</t>
  </si>
  <si>
    <t>Essex Record Office-04.12.15</t>
  </si>
  <si>
    <t>Chinese Visitor -Autumn 2015</t>
  </si>
  <si>
    <t>Thriftwood Act.Cent. - Jan '16</t>
  </si>
  <si>
    <t>Eastbourne Cricket Tour May '16</t>
  </si>
  <si>
    <t>Holocaust Talk - 22.1.16</t>
  </si>
  <si>
    <t>Thriftwood Scout Camp - 14.3.16</t>
  </si>
  <si>
    <t>New Staff and Pupil Premium reduction</t>
  </si>
  <si>
    <t>LU cover</t>
  </si>
  <si>
    <t>Includes funding from Bexley</t>
  </si>
  <si>
    <t>Under investigation</t>
  </si>
  <si>
    <t>Unknown</t>
  </si>
  <si>
    <t>ringfenced</t>
  </si>
  <si>
    <t>Funding from Bexley for particular student.</t>
  </si>
  <si>
    <t xml:space="preserve">Susie Lee </t>
  </si>
  <si>
    <t>Maternity allowances</t>
  </si>
  <si>
    <t>Additional Pastoral Manager and LSA covered by Bexley funding.</t>
  </si>
  <si>
    <t>Savings in staffing - Science</t>
  </si>
  <si>
    <t>Undercommitted</t>
  </si>
  <si>
    <t>Virement</t>
  </si>
  <si>
    <t>Salary correction</t>
  </si>
  <si>
    <t>Savings on moving to Essex</t>
  </si>
  <si>
    <t>Varies, may reduce</t>
  </si>
  <si>
    <t>Hope to reduce costs.</t>
  </si>
  <si>
    <t>LsA covered by Bexley + other staff changes</t>
  </si>
  <si>
    <t>Insuarance savings and additional fuel costs</t>
  </si>
  <si>
    <t>Various small overspends</t>
  </si>
  <si>
    <t>To be covered by income</t>
  </si>
  <si>
    <t>Trips - varies each month</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</si>
</sst>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F400]h:mm:ss\ AM/PM"/>
    <numFmt numFmtId="174" formatCode="hh:mm:ss;@"/>
    <numFmt numFmtId="175" formatCode="0.0%"/>
    <numFmt numFmtId="176" formatCode="[$-409]dddd\,\ mmmm\ dd\,\ yyyy"/>
    <numFmt numFmtId="177" formatCode="dd/mm/yy;@"/>
    <numFmt numFmtId="178" formatCode="_-* #,##0_-;\-* #,##0_-;_-* &quot;-&quot;??_-;_-@_-"/>
    <numFmt numFmtId="179" formatCode="0.00000000000000000"/>
    <numFmt numFmtId="180" formatCode="&quot;Yes&quot;;&quot;Yes&quot;;&quot;No&quot;"/>
    <numFmt numFmtId="181" formatCode="&quot;True&quot;;&quot;True&quot;;&quot;False&quot;"/>
    <numFmt numFmtId="182" formatCode="&quot;On&quot;;&quot;On&quot;;&quot;Off&quot;"/>
    <numFmt numFmtId="183" formatCode="[$€-2]\ #,##0.00_);[Red]\([$€-2]\ #,##0.00\)"/>
  </numFmts>
  <fonts count="73">
    <font>
      <sz val="10"/>
      <name val="Arial"/>
      <family val="0"/>
    </font>
    <font>
      <b/>
      <sz val="10"/>
      <name val="Arial"/>
      <family val="2"/>
    </font>
    <font>
      <sz val="8"/>
      <name val="Arial"/>
      <family val="2"/>
    </font>
    <font>
      <b/>
      <u val="single"/>
      <sz val="12"/>
      <name val="Arial"/>
      <family val="2"/>
    </font>
    <font>
      <b/>
      <sz val="12"/>
      <name val="Arial"/>
      <family val="2"/>
    </font>
    <font>
      <b/>
      <sz val="16"/>
      <name val="Arial"/>
      <family val="2"/>
    </font>
    <font>
      <u val="single"/>
      <sz val="10"/>
      <color indexed="12"/>
      <name val="Arial"/>
      <family val="2"/>
    </font>
    <font>
      <u val="single"/>
      <sz val="10"/>
      <color indexed="36"/>
      <name val="Arial"/>
      <family val="2"/>
    </font>
    <font>
      <b/>
      <sz val="8"/>
      <name val="Arial"/>
      <family val="2"/>
    </font>
    <font>
      <sz val="10"/>
      <color indexed="10"/>
      <name val="Arial"/>
      <family val="2"/>
    </font>
    <font>
      <sz val="10"/>
      <color indexed="8"/>
      <name val="Arial"/>
      <family val="2"/>
    </font>
    <font>
      <b/>
      <u val="single"/>
      <sz val="12"/>
      <name val="Times New Roman"/>
      <family val="1"/>
    </font>
    <font>
      <sz val="12"/>
      <name val="Times New Roman"/>
      <family val="1"/>
    </font>
    <font>
      <b/>
      <sz val="12"/>
      <name val="Times New Roman"/>
      <family val="1"/>
    </font>
    <font>
      <b/>
      <sz val="10"/>
      <color indexed="8"/>
      <name val="Arial"/>
      <family val="2"/>
    </font>
    <font>
      <b/>
      <sz val="12"/>
      <color indexed="8"/>
      <name val="Arial"/>
      <family val="2"/>
    </font>
    <font>
      <b/>
      <u val="single"/>
      <sz val="12"/>
      <color indexed="8"/>
      <name val="Arial"/>
      <family val="2"/>
    </font>
    <font>
      <sz val="11"/>
      <color indexed="8"/>
      <name val="Calibri"/>
      <family val="2"/>
    </font>
    <font>
      <b/>
      <sz val="11"/>
      <color indexed="8"/>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0"/>
      <color indexed="8"/>
      <name val="Calibri"/>
      <family val="2"/>
    </font>
    <font>
      <b/>
      <sz val="10"/>
      <color indexed="8"/>
      <name val="Calibri"/>
      <family val="2"/>
    </font>
    <font>
      <sz val="10"/>
      <name val="Calibri"/>
      <family val="2"/>
    </font>
    <font>
      <b/>
      <u val="single"/>
      <sz val="16"/>
      <color indexed="8"/>
      <name val="Calibri"/>
      <family val="2"/>
    </font>
    <font>
      <u val="single"/>
      <sz val="14"/>
      <color indexed="8"/>
      <name val="Calibri"/>
      <family val="2"/>
    </font>
    <font>
      <b/>
      <sz val="10"/>
      <color indexed="10"/>
      <name val="Arial"/>
      <family val="2"/>
    </font>
    <font>
      <sz val="12"/>
      <color indexed="8"/>
      <name val="Calibri"/>
      <family val="2"/>
    </font>
    <font>
      <b/>
      <u val="single"/>
      <sz val="14"/>
      <color indexed="8"/>
      <name val="Calibri"/>
      <family val="2"/>
    </font>
    <font>
      <sz val="12"/>
      <color indexed="10"/>
      <name val="Times New Roman"/>
      <family val="1"/>
    </font>
    <font>
      <sz val="10"/>
      <color indexed="8"/>
      <name val="MS Sans Serif"/>
      <family val="0"/>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22"/>
      <color theme="1"/>
      <name val="Calibri"/>
      <family val="2"/>
    </font>
    <font>
      <b/>
      <sz val="16"/>
      <color theme="1"/>
      <name val="Calibri"/>
      <family val="2"/>
    </font>
    <font>
      <b/>
      <sz val="14"/>
      <color theme="1"/>
      <name val="Calibri"/>
      <family val="2"/>
    </font>
    <font>
      <b/>
      <sz val="12"/>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style="medium"/>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right/>
      <top style="thin"/>
      <bottom style="thin"/>
    </border>
    <border>
      <left>
        <color indexed="63"/>
      </left>
      <right style="thin"/>
      <top style="thin"/>
      <bottom style="thin"/>
    </border>
    <border>
      <left/>
      <right/>
      <top style="thin"/>
      <bottom style="medium"/>
    </border>
    <border>
      <left/>
      <right/>
      <top/>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right style="medium"/>
      <top/>
      <bottom/>
    </border>
    <border>
      <left/>
      <right style="medium"/>
      <top style="thin"/>
      <bottom style="thin"/>
    </border>
    <border>
      <left style="medium"/>
      <right style="medium"/>
      <top>
        <color indexed="63"/>
      </top>
      <bottom>
        <color indexed="63"/>
      </bottom>
    </border>
    <border>
      <left/>
      <right/>
      <top style="medium"/>
      <bottom/>
    </border>
    <border>
      <left style="medium"/>
      <right>
        <color indexed="63"/>
      </right>
      <top>
        <color indexed="63"/>
      </top>
      <bottom style="medium"/>
    </border>
    <border>
      <left/>
      <right style="medium"/>
      <top/>
      <bottom style="medium"/>
    </border>
    <border>
      <left/>
      <right style="medium"/>
      <top style="medium"/>
      <bottom/>
    </border>
    <border>
      <left style="medium"/>
      <right style="medium"/>
      <top>
        <color indexed="63"/>
      </top>
      <bottom style="medium"/>
    </border>
    <border>
      <left>
        <color indexed="63"/>
      </left>
      <right style="medium"/>
      <top>
        <color indexed="63"/>
      </top>
      <bottom style="thin"/>
    </border>
    <border>
      <left style="medium"/>
      <right style="medium"/>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thin"/>
    </border>
    <border>
      <left/>
      <right/>
      <top>
        <color indexed="63"/>
      </top>
      <bottom style="thin"/>
    </border>
    <border>
      <left/>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32" fillId="0" borderId="0">
      <alignment/>
      <protection/>
    </xf>
    <xf numFmtId="0" fontId="51" fillId="0" borderId="0">
      <alignment/>
      <protection/>
    </xf>
    <xf numFmtId="0" fontId="0" fillId="32" borderId="7" applyNumberFormat="0" applyFont="0" applyAlignment="0" applyProtection="0"/>
    <xf numFmtId="0" fontId="51"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78">
    <xf numFmtId="0" fontId="0" fillId="0" borderId="0" xfId="0" applyAlignment="1">
      <alignment/>
    </xf>
    <xf numFmtId="4" fontId="1" fillId="33" borderId="10" xfId="0" applyNumberFormat="1" applyFont="1" applyFill="1" applyBorder="1" applyAlignment="1">
      <alignment horizontal="center" vertical="center" wrapText="1" shrinkToFit="1"/>
    </xf>
    <xf numFmtId="0" fontId="1" fillId="0" borderId="0" xfId="0" applyFont="1" applyAlignment="1">
      <alignment/>
    </xf>
    <xf numFmtId="0" fontId="0" fillId="0" borderId="0" xfId="0" applyAlignment="1">
      <alignment vertical="top" wrapText="1"/>
    </xf>
    <xf numFmtId="0" fontId="1" fillId="0" borderId="0" xfId="0" applyFont="1" applyAlignment="1">
      <alignment vertical="top" wrapText="1"/>
    </xf>
    <xf numFmtId="0" fontId="0" fillId="34" borderId="0" xfId="0" applyFill="1" applyAlignment="1">
      <alignment/>
    </xf>
    <xf numFmtId="0" fontId="4" fillId="35" borderId="11" xfId="0" applyFont="1" applyFill="1" applyBorder="1" applyAlignment="1">
      <alignment horizontal="center" vertical="center"/>
    </xf>
    <xf numFmtId="0" fontId="3" fillId="34" borderId="0" xfId="0" applyFont="1" applyFill="1" applyAlignment="1">
      <alignment horizontal="right" vertical="center"/>
    </xf>
    <xf numFmtId="0" fontId="1" fillId="34" borderId="0" xfId="0" applyFont="1" applyFill="1" applyBorder="1" applyAlignment="1">
      <alignment horizontal="center"/>
    </xf>
    <xf numFmtId="49" fontId="0" fillId="34" borderId="0" xfId="0" applyNumberFormat="1" applyFill="1" applyAlignment="1">
      <alignment/>
    </xf>
    <xf numFmtId="20" fontId="0" fillId="34" borderId="0" xfId="0" applyNumberFormat="1" applyFill="1" applyAlignment="1">
      <alignment/>
    </xf>
    <xf numFmtId="0" fontId="0" fillId="34" borderId="0" xfId="0" applyFill="1" applyAlignment="1">
      <alignment shrinkToFit="1"/>
    </xf>
    <xf numFmtId="0" fontId="0" fillId="0" borderId="0" xfId="0" applyAlignment="1">
      <alignment shrinkToFit="1"/>
    </xf>
    <xf numFmtId="0" fontId="0" fillId="34" borderId="0" xfId="0" applyFill="1" applyBorder="1" applyAlignment="1">
      <alignment/>
    </xf>
    <xf numFmtId="0" fontId="4" fillId="34" borderId="0" xfId="0" applyFont="1" applyFill="1" applyBorder="1" applyAlignment="1">
      <alignment horizontal="center" vertical="center"/>
    </xf>
    <xf numFmtId="4" fontId="8" fillId="33" borderId="10" xfId="0" applyNumberFormat="1" applyFont="1" applyFill="1" applyBorder="1" applyAlignment="1">
      <alignment horizontal="center" vertical="center" wrapText="1" shrinkToFit="1"/>
    </xf>
    <xf numFmtId="177" fontId="1" fillId="36" borderId="11" xfId="0" applyNumberFormat="1" applyFont="1" applyFill="1" applyBorder="1" applyAlignment="1" applyProtection="1">
      <alignment horizontal="center" vertical="center"/>
      <protection locked="0"/>
    </xf>
    <xf numFmtId="0" fontId="1" fillId="34" borderId="0" xfId="0" applyFont="1" applyFill="1" applyBorder="1" applyAlignment="1">
      <alignment horizontal="right"/>
    </xf>
    <xf numFmtId="20" fontId="1" fillId="36" borderId="11" xfId="0" applyNumberFormat="1" applyFont="1" applyFill="1" applyBorder="1" applyAlignment="1" applyProtection="1">
      <alignment horizontal="center" vertical="center"/>
      <protection locked="0"/>
    </xf>
    <xf numFmtId="0" fontId="1" fillId="34" borderId="0" xfId="0" applyFont="1" applyFill="1" applyAlignment="1">
      <alignment shrinkToFit="1"/>
    </xf>
    <xf numFmtId="0" fontId="4" fillId="34" borderId="0" xfId="0" applyFont="1" applyFill="1" applyAlignment="1">
      <alignment horizontal="center" shrinkToFit="1"/>
    </xf>
    <xf numFmtId="0" fontId="2" fillId="34" borderId="0" xfId="0" applyFont="1" applyFill="1" applyAlignment="1">
      <alignment/>
    </xf>
    <xf numFmtId="0" fontId="2" fillId="34" borderId="0" xfId="0" applyFont="1" applyFill="1" applyBorder="1" applyAlignment="1">
      <alignment/>
    </xf>
    <xf numFmtId="0" fontId="2" fillId="0" borderId="0" xfId="0" applyFont="1" applyAlignment="1">
      <alignment/>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4" fontId="0" fillId="37" borderId="10" xfId="0" applyNumberFormat="1" applyFill="1" applyBorder="1" applyAlignment="1">
      <alignment shrinkToFit="1"/>
    </xf>
    <xf numFmtId="175" fontId="0" fillId="37" borderId="16" xfId="0" applyNumberFormat="1" applyFill="1" applyBorder="1" applyAlignment="1">
      <alignment horizontal="center" shrinkToFit="1"/>
    </xf>
    <xf numFmtId="2" fontId="1" fillId="33" borderId="10" xfId="0" applyNumberFormat="1" applyFont="1" applyFill="1" applyBorder="1" applyAlignment="1">
      <alignment horizontal="center" vertical="center" wrapText="1" shrinkToFit="1"/>
    </xf>
    <xf numFmtId="2" fontId="1" fillId="33" borderId="10" xfId="0" applyNumberFormat="1" applyFont="1" applyFill="1" applyBorder="1" applyAlignment="1">
      <alignment horizontal="center" vertical="center" shrinkToFit="1"/>
    </xf>
    <xf numFmtId="2" fontId="8" fillId="33" borderId="17" xfId="0" applyNumberFormat="1" applyFont="1" applyFill="1" applyBorder="1" applyAlignment="1">
      <alignment horizontal="center" vertical="center" wrapText="1" shrinkToFit="1"/>
    </xf>
    <xf numFmtId="2" fontId="0" fillId="37" borderId="10" xfId="0" applyNumberFormat="1" applyFill="1" applyBorder="1" applyAlignment="1" applyProtection="1">
      <alignment shrinkToFit="1"/>
      <protection locked="0"/>
    </xf>
    <xf numFmtId="2" fontId="2" fillId="37" borderId="16" xfId="0" applyNumberFormat="1" applyFont="1" applyFill="1" applyBorder="1" applyAlignment="1" applyProtection="1">
      <alignment wrapText="1"/>
      <protection/>
    </xf>
    <xf numFmtId="2" fontId="2" fillId="37" borderId="17" xfId="0" applyNumberFormat="1" applyFont="1" applyFill="1" applyBorder="1" applyAlignment="1">
      <alignment/>
    </xf>
    <xf numFmtId="2" fontId="0" fillId="36" borderId="16" xfId="0" applyNumberFormat="1" applyFill="1" applyBorder="1" applyAlignment="1" applyProtection="1">
      <alignment shrinkToFit="1"/>
      <protection locked="0"/>
    </xf>
    <xf numFmtId="2" fontId="2" fillId="0" borderId="16" xfId="0" applyNumberFormat="1" applyFont="1" applyFill="1" applyBorder="1" applyAlignment="1" applyProtection="1">
      <alignment wrapText="1"/>
      <protection/>
    </xf>
    <xf numFmtId="2" fontId="0" fillId="36" borderId="16" xfId="0" applyNumberFormat="1" applyFill="1" applyBorder="1" applyAlignment="1" applyProtection="1" quotePrefix="1">
      <alignment shrinkToFit="1"/>
      <protection locked="0"/>
    </xf>
    <xf numFmtId="2" fontId="0" fillId="36" borderId="16" xfId="0" applyNumberFormat="1" applyFill="1" applyBorder="1" applyAlignment="1">
      <alignment/>
    </xf>
    <xf numFmtId="2" fontId="0" fillId="36" borderId="16" xfId="0" applyNumberFormat="1" applyFill="1" applyBorder="1" applyAlignment="1">
      <alignment shrinkToFit="1"/>
    </xf>
    <xf numFmtId="6" fontId="5" fillId="35" borderId="11" xfId="0" applyNumberFormat="1" applyFont="1" applyFill="1" applyBorder="1" applyAlignment="1">
      <alignment horizontal="center" vertical="center"/>
    </xf>
    <xf numFmtId="4" fontId="0" fillId="36" borderId="16" xfId="0" applyNumberFormat="1" applyFill="1" applyBorder="1" applyAlignment="1">
      <alignment/>
    </xf>
    <xf numFmtId="2" fontId="2" fillId="0" borderId="18" xfId="0" applyNumberFormat="1" applyFont="1" applyFill="1" applyBorder="1" applyAlignment="1" applyProtection="1">
      <alignment wrapText="1"/>
      <protection/>
    </xf>
    <xf numFmtId="0" fontId="8" fillId="35" borderId="19" xfId="0" applyFont="1" applyFill="1" applyBorder="1" applyAlignment="1">
      <alignment horizontal="center" vertical="center" wrapText="1"/>
    </xf>
    <xf numFmtId="0" fontId="0" fillId="0" borderId="20" xfId="0" applyBorder="1" applyAlignment="1">
      <alignment/>
    </xf>
    <xf numFmtId="2" fontId="8" fillId="33" borderId="21" xfId="0" applyNumberFormat="1" applyFont="1" applyFill="1" applyBorder="1" applyAlignment="1">
      <alignment horizontal="center" vertical="center" wrapText="1" shrinkToFit="1"/>
    </xf>
    <xf numFmtId="2" fontId="2" fillId="35" borderId="16" xfId="0" applyNumberFormat="1" applyFont="1" applyFill="1" applyBorder="1" applyAlignment="1" applyProtection="1">
      <alignment wrapText="1"/>
      <protection/>
    </xf>
    <xf numFmtId="2" fontId="2" fillId="37" borderId="22" xfId="0" applyNumberFormat="1" applyFont="1" applyFill="1" applyBorder="1" applyAlignment="1" applyProtection="1">
      <alignment wrapText="1"/>
      <protection/>
    </xf>
    <xf numFmtId="2" fontId="2" fillId="0" borderId="22" xfId="0" applyNumberFormat="1" applyFont="1" applyFill="1"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vertical="top" wrapText="1"/>
    </xf>
    <xf numFmtId="0" fontId="13" fillId="0" borderId="0" xfId="0" applyFont="1" applyAlignment="1">
      <alignment vertical="top" wrapText="1"/>
    </xf>
    <xf numFmtId="0" fontId="0" fillId="36" borderId="16" xfId="0" applyFill="1" applyBorder="1" applyAlignment="1">
      <alignment/>
    </xf>
    <xf numFmtId="2" fontId="2" fillId="36" borderId="16" xfId="0" applyNumberFormat="1" applyFont="1" applyFill="1" applyBorder="1" applyAlignment="1" applyProtection="1">
      <alignment horizontal="left" wrapText="1" shrinkToFit="1"/>
      <protection locked="0"/>
    </xf>
    <xf numFmtId="2" fontId="2" fillId="36" borderId="16" xfId="0" applyNumberFormat="1" applyFont="1" applyFill="1" applyBorder="1" applyAlignment="1" applyProtection="1">
      <alignment wrapText="1" shrinkToFit="1"/>
      <protection locked="0"/>
    </xf>
    <xf numFmtId="0" fontId="9" fillId="0" borderId="20" xfId="0" applyFont="1" applyBorder="1" applyAlignment="1">
      <alignment/>
    </xf>
    <xf numFmtId="0" fontId="0" fillId="36" borderId="23" xfId="0" applyFill="1" applyBorder="1" applyAlignment="1">
      <alignment/>
    </xf>
    <xf numFmtId="175" fontId="0" fillId="37" borderId="23" xfId="0" applyNumberFormat="1" applyFill="1" applyBorder="1" applyAlignment="1">
      <alignment horizontal="center" shrinkToFit="1"/>
    </xf>
    <xf numFmtId="2" fontId="0" fillId="36" borderId="23" xfId="0" applyNumberFormat="1" applyFill="1" applyBorder="1" applyAlignment="1">
      <alignment/>
    </xf>
    <xf numFmtId="2" fontId="0" fillId="36" borderId="23" xfId="0" applyNumberFormat="1" applyFill="1" applyBorder="1" applyAlignment="1">
      <alignment shrinkToFit="1"/>
    </xf>
    <xf numFmtId="2" fontId="2" fillId="35" borderId="23" xfId="0" applyNumberFormat="1" applyFont="1" applyFill="1" applyBorder="1" applyAlignment="1" applyProtection="1">
      <alignment wrapText="1"/>
      <protection/>
    </xf>
    <xf numFmtId="2" fontId="2" fillId="0" borderId="23" xfId="0" applyNumberFormat="1" applyFont="1" applyFill="1" applyBorder="1" applyAlignment="1" applyProtection="1">
      <alignment wrapText="1"/>
      <protection/>
    </xf>
    <xf numFmtId="2" fontId="2" fillId="0" borderId="24" xfId="0" applyNumberFormat="1" applyFont="1" applyFill="1" applyBorder="1" applyAlignment="1" applyProtection="1">
      <alignment wrapText="1"/>
      <protection/>
    </xf>
    <xf numFmtId="0" fontId="10" fillId="34" borderId="0" xfId="0" applyFont="1" applyFill="1" applyAlignment="1">
      <alignment/>
    </xf>
    <xf numFmtId="0" fontId="10" fillId="0" borderId="0" xfId="0" applyFont="1" applyAlignment="1">
      <alignment/>
    </xf>
    <xf numFmtId="0" fontId="14" fillId="33" borderId="10" xfId="0" applyFont="1" applyFill="1" applyBorder="1" applyAlignment="1">
      <alignment horizontal="center" vertical="center"/>
    </xf>
    <xf numFmtId="0" fontId="10" fillId="37" borderId="10" xfId="0" applyFont="1" applyFill="1" applyBorder="1" applyAlignment="1">
      <alignment wrapText="1"/>
    </xf>
    <xf numFmtId="0" fontId="10" fillId="0" borderId="20" xfId="0" applyFont="1" applyBorder="1" applyAlignment="1">
      <alignment/>
    </xf>
    <xf numFmtId="0" fontId="14" fillId="33" borderId="25" xfId="0" applyFont="1" applyFill="1" applyBorder="1" applyAlignment="1">
      <alignment horizontal="center" vertical="center" wrapText="1"/>
    </xf>
    <xf numFmtId="0" fontId="10" fillId="37" borderId="25" xfId="0" applyFont="1" applyFill="1" applyBorder="1" applyAlignment="1">
      <alignment/>
    </xf>
    <xf numFmtId="0" fontId="10" fillId="0" borderId="20" xfId="0" applyFont="1" applyBorder="1" applyAlignment="1">
      <alignment horizontal="right"/>
    </xf>
    <xf numFmtId="0" fontId="14" fillId="34" borderId="0" xfId="0" applyFont="1" applyFill="1" applyBorder="1" applyAlignment="1">
      <alignment horizontal="center"/>
    </xf>
    <xf numFmtId="0" fontId="15" fillId="35" borderId="11" xfId="0" applyFont="1" applyFill="1" applyBorder="1" applyAlignment="1">
      <alignment horizontal="center" vertical="center"/>
    </xf>
    <xf numFmtId="0" fontId="10" fillId="34" borderId="0" xfId="0" applyFont="1" applyFill="1" applyAlignment="1">
      <alignment/>
    </xf>
    <xf numFmtId="0" fontId="16" fillId="34" borderId="0" xfId="0" applyFont="1" applyFill="1" applyAlignment="1">
      <alignment horizontal="right" vertical="center"/>
    </xf>
    <xf numFmtId="0" fontId="10" fillId="0" borderId="0" xfId="0" applyFont="1" applyAlignment="1">
      <alignment/>
    </xf>
    <xf numFmtId="4" fontId="14" fillId="33" borderId="10" xfId="0" applyNumberFormat="1" applyFont="1" applyFill="1" applyBorder="1" applyAlignment="1">
      <alignment horizontal="center" vertical="center" wrapText="1" shrinkToFit="1"/>
    </xf>
    <xf numFmtId="4" fontId="10" fillId="37" borderId="10" xfId="0" applyNumberFormat="1" applyFont="1" applyFill="1" applyBorder="1" applyAlignment="1">
      <alignment shrinkToFit="1"/>
    </xf>
    <xf numFmtId="0" fontId="0" fillId="0" borderId="0" xfId="0" applyFill="1" applyAlignment="1">
      <alignment/>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178" fontId="5" fillId="35" borderId="0" xfId="44" applyNumberFormat="1" applyFont="1" applyFill="1" applyBorder="1" applyAlignment="1" applyProtection="1">
      <alignment horizontal="center" vertical="top"/>
      <protection/>
    </xf>
    <xf numFmtId="178" fontId="20" fillId="35" borderId="0" xfId="44" applyNumberFormat="1" applyFont="1" applyFill="1" applyBorder="1" applyAlignment="1" applyProtection="1">
      <alignment vertical="top"/>
      <protection/>
    </xf>
    <xf numFmtId="0" fontId="21" fillId="0" borderId="0" xfId="0" applyFont="1" applyAlignment="1">
      <alignment horizontal="center" vertical="top"/>
    </xf>
    <xf numFmtId="0" fontId="22" fillId="0" borderId="0" xfId="0" applyFont="1" applyBorder="1" applyAlignment="1">
      <alignment/>
    </xf>
    <xf numFmtId="0" fontId="18" fillId="0" borderId="0" xfId="0" applyFont="1" applyBorder="1" applyAlignment="1">
      <alignment/>
    </xf>
    <xf numFmtId="0" fontId="22" fillId="0" borderId="0" xfId="0" applyFont="1" applyFill="1" applyBorder="1" applyAlignment="1">
      <alignment/>
    </xf>
    <xf numFmtId="0" fontId="18" fillId="0" borderId="0" xfId="0" applyFont="1" applyFill="1" applyBorder="1" applyAlignment="1">
      <alignment/>
    </xf>
    <xf numFmtId="0" fontId="23" fillId="35" borderId="0" xfId="0" applyFont="1" applyFill="1" applyBorder="1" applyAlignment="1">
      <alignment/>
    </xf>
    <xf numFmtId="0" fontId="23" fillId="0" borderId="0" xfId="0" applyFont="1" applyAlignment="1">
      <alignment/>
    </xf>
    <xf numFmtId="0" fontId="24" fillId="0" borderId="0" xfId="0" applyFont="1" applyBorder="1" applyAlignment="1">
      <alignment/>
    </xf>
    <xf numFmtId="0" fontId="23" fillId="0" borderId="0" xfId="0" applyFont="1" applyBorder="1" applyAlignment="1">
      <alignment/>
    </xf>
    <xf numFmtId="0" fontId="24" fillId="0" borderId="0" xfId="0" applyFont="1" applyFill="1" applyBorder="1" applyAlignment="1">
      <alignment/>
    </xf>
    <xf numFmtId="178" fontId="23" fillId="0" borderId="0" xfId="44" applyNumberFormat="1" applyFont="1" applyFill="1" applyBorder="1" applyAlignment="1">
      <alignment/>
    </xf>
    <xf numFmtId="0" fontId="23" fillId="0" borderId="0" xfId="0" applyFont="1" applyFill="1" applyBorder="1" applyAlignment="1">
      <alignment/>
    </xf>
    <xf numFmtId="3" fontId="23" fillId="0" borderId="0" xfId="44" applyNumberFormat="1" applyFont="1" applyFill="1" applyBorder="1" applyAlignment="1">
      <alignment/>
    </xf>
    <xf numFmtId="3" fontId="23" fillId="0" borderId="0" xfId="0" applyNumberFormat="1" applyFont="1" applyFill="1" applyBorder="1" applyAlignment="1">
      <alignment/>
    </xf>
    <xf numFmtId="3" fontId="24" fillId="0" borderId="0" xfId="0" applyNumberFormat="1" applyFont="1" applyFill="1" applyBorder="1" applyAlignment="1">
      <alignment/>
    </xf>
    <xf numFmtId="3" fontId="24" fillId="38" borderId="0" xfId="0" applyNumberFormat="1" applyFont="1" applyFill="1" applyBorder="1" applyAlignment="1">
      <alignment/>
    </xf>
    <xf numFmtId="0" fontId="24" fillId="0" borderId="0" xfId="0" applyFont="1" applyAlignment="1">
      <alignment/>
    </xf>
    <xf numFmtId="3" fontId="23" fillId="0" borderId="0" xfId="44" applyNumberFormat="1" applyFont="1" applyFill="1" applyBorder="1" applyAlignment="1">
      <alignment horizontal="right"/>
    </xf>
    <xf numFmtId="178" fontId="23" fillId="0" borderId="0" xfId="44" applyNumberFormat="1" applyFont="1" applyBorder="1" applyAlignment="1">
      <alignment/>
    </xf>
    <xf numFmtId="0" fontId="23" fillId="0" borderId="0" xfId="0" applyFont="1" applyBorder="1" applyAlignment="1">
      <alignment vertical="top"/>
    </xf>
    <xf numFmtId="3" fontId="23" fillId="0" borderId="0" xfId="0" applyNumberFormat="1" applyFont="1" applyBorder="1" applyAlignment="1">
      <alignment vertical="top"/>
    </xf>
    <xf numFmtId="0" fontId="23" fillId="0" borderId="0" xfId="0" applyFont="1" applyAlignment="1">
      <alignment vertical="top"/>
    </xf>
    <xf numFmtId="3" fontId="23" fillId="38" borderId="0" xfId="44" applyNumberFormat="1" applyFont="1" applyFill="1" applyBorder="1" applyAlignment="1">
      <alignment vertical="top"/>
    </xf>
    <xf numFmtId="0" fontId="23" fillId="39" borderId="0" xfId="0" applyFont="1" applyFill="1" applyAlignment="1">
      <alignment vertical="top"/>
    </xf>
    <xf numFmtId="3" fontId="23" fillId="40" borderId="0" xfId="0" applyNumberFormat="1" applyFont="1" applyFill="1" applyAlignment="1">
      <alignment vertical="top"/>
    </xf>
    <xf numFmtId="0" fontId="23" fillId="0" borderId="0" xfId="0" applyFont="1" applyAlignment="1" quotePrefix="1">
      <alignment vertical="top"/>
    </xf>
    <xf numFmtId="3" fontId="23" fillId="0" borderId="0" xfId="44" applyNumberFormat="1" applyFont="1" applyFill="1" applyBorder="1" applyAlignment="1">
      <alignment vertical="top"/>
    </xf>
    <xf numFmtId="0" fontId="23" fillId="0" borderId="0" xfId="0" applyFont="1" applyFill="1" applyBorder="1" applyAlignment="1">
      <alignment vertical="top"/>
    </xf>
    <xf numFmtId="3" fontId="23" fillId="0" borderId="0" xfId="0" applyNumberFormat="1" applyFont="1" applyFill="1" applyBorder="1" applyAlignment="1">
      <alignment vertical="top"/>
    </xf>
    <xf numFmtId="3" fontId="24" fillId="38" borderId="28" xfId="44" applyNumberFormat="1" applyFont="1" applyFill="1" applyBorder="1" applyAlignment="1">
      <alignment vertical="top"/>
    </xf>
    <xf numFmtId="0" fontId="24" fillId="39" borderId="28" xfId="0" applyFont="1" applyFill="1" applyBorder="1" applyAlignment="1">
      <alignment vertical="top"/>
    </xf>
    <xf numFmtId="3" fontId="24" fillId="40" borderId="28" xfId="0" applyNumberFormat="1" applyFont="1" applyFill="1" applyBorder="1" applyAlignment="1">
      <alignment vertical="top"/>
    </xf>
    <xf numFmtId="0" fontId="24" fillId="0" borderId="0" xfId="0" applyFont="1" applyBorder="1" applyAlignment="1">
      <alignment vertical="top"/>
    </xf>
    <xf numFmtId="3" fontId="24" fillId="38" borderId="0" xfId="44" applyNumberFormat="1" applyFont="1" applyFill="1" applyBorder="1" applyAlignment="1">
      <alignment vertical="top"/>
    </xf>
    <xf numFmtId="0" fontId="24" fillId="39" borderId="0" xfId="0" applyFont="1" applyFill="1" applyBorder="1" applyAlignment="1">
      <alignment vertical="top"/>
    </xf>
    <xf numFmtId="3" fontId="24" fillId="40" borderId="0" xfId="0" applyNumberFormat="1" applyFont="1" applyFill="1" applyBorder="1" applyAlignment="1">
      <alignment vertical="top"/>
    </xf>
    <xf numFmtId="0" fontId="24" fillId="0" borderId="0" xfId="0" applyFont="1" applyFill="1" applyBorder="1" applyAlignment="1">
      <alignment vertical="top"/>
    </xf>
    <xf numFmtId="3" fontId="24" fillId="0" borderId="0" xfId="0" applyNumberFormat="1" applyFont="1" applyFill="1" applyBorder="1" applyAlignment="1">
      <alignment vertical="top"/>
    </xf>
    <xf numFmtId="0" fontId="24" fillId="39" borderId="29" xfId="0" applyFont="1" applyFill="1" applyBorder="1" applyAlignment="1">
      <alignment vertical="top"/>
    </xf>
    <xf numFmtId="3" fontId="24" fillId="40" borderId="29" xfId="0" applyNumberFormat="1" applyFont="1" applyFill="1" applyBorder="1" applyAlignment="1">
      <alignment vertical="top"/>
    </xf>
    <xf numFmtId="3" fontId="24" fillId="0" borderId="0" xfId="44" applyNumberFormat="1" applyFont="1" applyFill="1" applyBorder="1" applyAlignment="1">
      <alignment vertical="top"/>
    </xf>
    <xf numFmtId="0" fontId="24" fillId="0" borderId="0" xfId="0" applyFont="1" applyAlignment="1">
      <alignment vertical="top"/>
    </xf>
    <xf numFmtId="0" fontId="24" fillId="0" borderId="0" xfId="0" applyFont="1" applyFill="1" applyBorder="1" applyAlignment="1">
      <alignment horizontal="right" vertical="top"/>
    </xf>
    <xf numFmtId="0" fontId="0" fillId="0" borderId="0" xfId="0" applyFill="1" applyBorder="1" applyAlignment="1">
      <alignment vertical="top"/>
    </xf>
    <xf numFmtId="0" fontId="0" fillId="0" borderId="0" xfId="0" applyAlignment="1">
      <alignment vertical="top"/>
    </xf>
    <xf numFmtId="3" fontId="23" fillId="38" borderId="0" xfId="0" applyNumberFormat="1" applyFont="1" applyFill="1" applyBorder="1" applyAlignment="1">
      <alignment vertical="top"/>
    </xf>
    <xf numFmtId="3" fontId="24" fillId="38" borderId="28" xfId="0" applyNumberFormat="1" applyFont="1" applyFill="1" applyBorder="1" applyAlignment="1">
      <alignment vertical="top"/>
    </xf>
    <xf numFmtId="3" fontId="23" fillId="38" borderId="0" xfId="44" applyNumberFormat="1" applyFont="1" applyFill="1" applyBorder="1" applyAlignment="1">
      <alignment horizontal="right" vertical="top"/>
    </xf>
    <xf numFmtId="3" fontId="23" fillId="38" borderId="0" xfId="0" applyNumberFormat="1" applyFont="1" applyFill="1" applyBorder="1" applyAlignment="1">
      <alignment horizontal="right" vertical="top"/>
    </xf>
    <xf numFmtId="3" fontId="23" fillId="38" borderId="0" xfId="0" applyNumberFormat="1" applyFont="1" applyFill="1" applyAlignment="1">
      <alignment vertical="top"/>
    </xf>
    <xf numFmtId="0" fontId="0" fillId="0" borderId="0" xfId="0" applyFill="1" applyBorder="1" applyAlignment="1">
      <alignment/>
    </xf>
    <xf numFmtId="0" fontId="0" fillId="34" borderId="0" xfId="0" applyFont="1" applyFill="1" applyAlignment="1" quotePrefix="1">
      <alignment/>
    </xf>
    <xf numFmtId="0" fontId="0" fillId="0" borderId="0" xfId="0" applyAlignment="1" quotePrefix="1">
      <alignment/>
    </xf>
    <xf numFmtId="0" fontId="0" fillId="0" borderId="16" xfId="0" applyFill="1" applyBorder="1" applyAlignment="1">
      <alignment/>
    </xf>
    <xf numFmtId="3" fontId="25" fillId="35" borderId="0" xfId="44" applyNumberFormat="1" applyFont="1" applyFill="1" applyBorder="1" applyAlignment="1" applyProtection="1">
      <alignment horizontal="center" vertical="top"/>
      <protection/>
    </xf>
    <xf numFmtId="3" fontId="25" fillId="0" borderId="0" xfId="0" applyNumberFormat="1" applyFont="1" applyAlignment="1">
      <alignment/>
    </xf>
    <xf numFmtId="0" fontId="24" fillId="39" borderId="0" xfId="0" applyFont="1" applyFill="1" applyBorder="1" applyAlignment="1">
      <alignment/>
    </xf>
    <xf numFmtId="3" fontId="24" fillId="41" borderId="0" xfId="0" applyNumberFormat="1" applyFont="1" applyFill="1" applyBorder="1" applyAlignment="1">
      <alignment/>
    </xf>
    <xf numFmtId="0" fontId="19" fillId="0" borderId="0" xfId="0" applyFont="1" applyBorder="1" applyAlignment="1">
      <alignment horizontal="center" vertical="center" wrapText="1"/>
    </xf>
    <xf numFmtId="3" fontId="23" fillId="0" borderId="0" xfId="0" applyNumberFormat="1" applyFont="1" applyBorder="1" applyAlignment="1">
      <alignment horizontal="center" vertical="center" wrapText="1"/>
    </xf>
    <xf numFmtId="0" fontId="22" fillId="0" borderId="0" xfId="0" applyFont="1" applyBorder="1" applyAlignment="1">
      <alignment vertical="top"/>
    </xf>
    <xf numFmtId="0" fontId="23" fillId="0" borderId="0" xfId="0" applyFont="1" applyFill="1" applyAlignment="1">
      <alignment/>
    </xf>
    <xf numFmtId="0" fontId="23" fillId="0" borderId="0" xfId="0" applyFont="1" applyFill="1" applyAlignment="1">
      <alignment vertical="top"/>
    </xf>
    <xf numFmtId="4" fontId="0" fillId="34" borderId="0" xfId="0" applyNumberFormat="1" applyFill="1" applyAlignment="1">
      <alignment/>
    </xf>
    <xf numFmtId="2" fontId="0" fillId="34" borderId="0" xfId="0" applyNumberFormat="1" applyFill="1" applyAlignment="1">
      <alignment/>
    </xf>
    <xf numFmtId="0" fontId="24" fillId="0" borderId="0" xfId="0" applyFont="1" applyBorder="1" applyAlignment="1">
      <alignment horizontal="right" vertical="top"/>
    </xf>
    <xf numFmtId="3" fontId="23" fillId="0" borderId="0" xfId="0" applyNumberFormat="1" applyFont="1" applyBorder="1" applyAlignment="1">
      <alignment horizontal="right" vertical="top"/>
    </xf>
    <xf numFmtId="3" fontId="24" fillId="38" borderId="30" xfId="0" applyNumberFormat="1" applyFont="1" applyFill="1" applyBorder="1" applyAlignment="1">
      <alignment vertical="top"/>
    </xf>
    <xf numFmtId="3" fontId="23" fillId="37" borderId="17" xfId="0" applyNumberFormat="1" applyFont="1" applyFill="1" applyBorder="1" applyAlignment="1">
      <alignment horizontal="center" wrapText="1"/>
    </xf>
    <xf numFmtId="0" fontId="23" fillId="40" borderId="31" xfId="0" applyFont="1" applyFill="1" applyBorder="1" applyAlignment="1">
      <alignment horizontal="center" wrapText="1"/>
    </xf>
    <xf numFmtId="0" fontId="23" fillId="38" borderId="17" xfId="0" applyFont="1" applyFill="1" applyBorder="1" applyAlignment="1">
      <alignment horizontal="center" wrapText="1"/>
    </xf>
    <xf numFmtId="0" fontId="23" fillId="40" borderId="17" xfId="0" applyFont="1" applyFill="1" applyBorder="1" applyAlignment="1">
      <alignment horizontal="center" wrapText="1"/>
    </xf>
    <xf numFmtId="3" fontId="23" fillId="36" borderId="0" xfId="0" applyNumberFormat="1" applyFont="1" applyFill="1" applyBorder="1" applyAlignment="1">
      <alignment/>
    </xf>
    <xf numFmtId="0" fontId="22" fillId="36" borderId="0" xfId="0" applyFont="1" applyFill="1" applyBorder="1" applyAlignment="1">
      <alignment/>
    </xf>
    <xf numFmtId="3" fontId="23" fillId="36" borderId="0" xfId="0" applyNumberFormat="1" applyFont="1" applyFill="1" applyBorder="1" applyAlignment="1">
      <alignment horizontal="center" wrapText="1"/>
    </xf>
    <xf numFmtId="0" fontId="23" fillId="36" borderId="0" xfId="0" applyFont="1" applyFill="1" applyBorder="1" applyAlignment="1">
      <alignment horizontal="center" wrapText="1"/>
    </xf>
    <xf numFmtId="0" fontId="22" fillId="0" borderId="32" xfId="0" applyFont="1" applyBorder="1" applyAlignment="1">
      <alignment/>
    </xf>
    <xf numFmtId="3" fontId="27" fillId="0" borderId="0" xfId="0" applyNumberFormat="1" applyFont="1" applyBorder="1" applyAlignment="1">
      <alignment horizontal="center" vertical="center" wrapText="1"/>
    </xf>
    <xf numFmtId="38" fontId="23" fillId="36" borderId="0" xfId="0" applyNumberFormat="1" applyFont="1" applyFill="1" applyBorder="1" applyAlignment="1">
      <alignment vertical="top"/>
    </xf>
    <xf numFmtId="38" fontId="23" fillId="0" borderId="0" xfId="0" applyNumberFormat="1" applyFont="1" applyBorder="1" applyAlignment="1" quotePrefix="1">
      <alignment vertical="top"/>
    </xf>
    <xf numFmtId="38" fontId="23" fillId="0" borderId="0" xfId="0" applyNumberFormat="1" applyFont="1" applyBorder="1" applyAlignment="1">
      <alignment vertical="top"/>
    </xf>
    <xf numFmtId="38" fontId="24" fillId="36" borderId="0" xfId="0" applyNumberFormat="1" applyFont="1" applyFill="1" applyBorder="1" applyAlignment="1">
      <alignment vertical="top"/>
    </xf>
    <xf numFmtId="38" fontId="23" fillId="0" borderId="32" xfId="0" applyNumberFormat="1" applyFont="1" applyBorder="1" applyAlignment="1">
      <alignment vertical="top"/>
    </xf>
    <xf numFmtId="38" fontId="23" fillId="0" borderId="26" xfId="0" applyNumberFormat="1" applyFont="1" applyBorder="1" applyAlignment="1">
      <alignment vertical="top"/>
    </xf>
    <xf numFmtId="38" fontId="23" fillId="0" borderId="27" xfId="0" applyNumberFormat="1" applyFont="1" applyBorder="1" applyAlignment="1">
      <alignment vertical="top"/>
    </xf>
    <xf numFmtId="38" fontId="24" fillId="0" borderId="0" xfId="0" applyNumberFormat="1" applyFont="1" applyBorder="1" applyAlignment="1">
      <alignment vertical="top"/>
    </xf>
    <xf numFmtId="38" fontId="24" fillId="0" borderId="32" xfId="0" applyNumberFormat="1" applyFont="1" applyBorder="1" applyAlignment="1">
      <alignment vertical="top"/>
    </xf>
    <xf numFmtId="38" fontId="24" fillId="0" borderId="26" xfId="0" applyNumberFormat="1" applyFont="1" applyBorder="1" applyAlignment="1">
      <alignment vertical="top"/>
    </xf>
    <xf numFmtId="38" fontId="24" fillId="0" borderId="27" xfId="0" applyNumberFormat="1" applyFont="1" applyBorder="1" applyAlignment="1">
      <alignment vertical="top"/>
    </xf>
    <xf numFmtId="38" fontId="22" fillId="0" borderId="0" xfId="0" applyNumberFormat="1" applyFont="1" applyBorder="1" applyAlignment="1">
      <alignment vertical="top"/>
    </xf>
    <xf numFmtId="38" fontId="22" fillId="36" borderId="0" xfId="0" applyNumberFormat="1" applyFont="1" applyFill="1" applyBorder="1" applyAlignment="1">
      <alignment vertical="top"/>
    </xf>
    <xf numFmtId="38" fontId="22" fillId="0" borderId="32" xfId="0" applyNumberFormat="1" applyFont="1" applyBorder="1" applyAlignment="1">
      <alignment vertical="top"/>
    </xf>
    <xf numFmtId="38" fontId="23" fillId="36" borderId="0" xfId="0" applyNumberFormat="1" applyFont="1" applyFill="1" applyBorder="1" applyAlignment="1" quotePrefix="1">
      <alignment vertical="top"/>
    </xf>
    <xf numFmtId="38" fontId="23" fillId="0" borderId="26" xfId="0" applyNumberFormat="1" applyFont="1" applyBorder="1" applyAlignment="1" quotePrefix="1">
      <alignment vertical="top"/>
    </xf>
    <xf numFmtId="0" fontId="9" fillId="0" borderId="0" xfId="0" applyFont="1" applyAlignment="1">
      <alignment/>
    </xf>
    <xf numFmtId="0" fontId="0" fillId="37" borderId="0" xfId="0" applyFill="1" applyAlignment="1">
      <alignment/>
    </xf>
    <xf numFmtId="0" fontId="28" fillId="37" borderId="0" xfId="0" applyFont="1" applyFill="1" applyAlignment="1">
      <alignment/>
    </xf>
    <xf numFmtId="0" fontId="9" fillId="37" borderId="0" xfId="0" applyFont="1" applyFill="1" applyAlignment="1">
      <alignment/>
    </xf>
    <xf numFmtId="0" fontId="10" fillId="41" borderId="20" xfId="0" applyFont="1" applyFill="1" applyBorder="1" applyAlignment="1">
      <alignment/>
    </xf>
    <xf numFmtId="0" fontId="0" fillId="41" borderId="16" xfId="0" applyFill="1" applyBorder="1" applyAlignment="1">
      <alignment/>
    </xf>
    <xf numFmtId="0" fontId="10" fillId="0" borderId="20" xfId="0" applyFont="1" applyBorder="1" applyAlignment="1" quotePrefix="1">
      <alignment/>
    </xf>
    <xf numFmtId="38" fontId="24" fillId="42" borderId="26" xfId="0" applyNumberFormat="1" applyFont="1" applyFill="1" applyBorder="1" applyAlignment="1">
      <alignment vertical="top"/>
    </xf>
    <xf numFmtId="38" fontId="24" fillId="42" borderId="27" xfId="0" applyNumberFormat="1" applyFont="1" applyFill="1" applyBorder="1" applyAlignment="1">
      <alignment vertical="top"/>
    </xf>
    <xf numFmtId="38" fontId="24" fillId="42" borderId="28" xfId="0" applyNumberFormat="1" applyFont="1" applyFill="1" applyBorder="1" applyAlignment="1">
      <alignment vertical="top"/>
    </xf>
    <xf numFmtId="0" fontId="30" fillId="0" borderId="0" xfId="0" applyFont="1" applyBorder="1" applyAlignment="1">
      <alignment vertical="top"/>
    </xf>
    <xf numFmtId="38" fontId="23" fillId="0" borderId="32" xfId="0" applyNumberFormat="1" applyFont="1" applyBorder="1" applyAlignment="1" quotePrefix="1">
      <alignment vertical="top"/>
    </xf>
    <xf numFmtId="3" fontId="24" fillId="38" borderId="0" xfId="0" applyNumberFormat="1" applyFont="1" applyFill="1" applyBorder="1" applyAlignment="1">
      <alignment vertical="top"/>
    </xf>
    <xf numFmtId="0" fontId="10" fillId="43" borderId="20" xfId="0" applyFont="1" applyFill="1" applyBorder="1" applyAlignment="1">
      <alignment/>
    </xf>
    <xf numFmtId="0" fontId="31" fillId="0" borderId="0" xfId="0" applyFont="1" applyAlignment="1">
      <alignment vertical="top" wrapText="1"/>
    </xf>
    <xf numFmtId="0" fontId="28" fillId="0" borderId="0" xfId="0" applyFont="1" applyAlignment="1">
      <alignment vertical="top" wrapText="1"/>
    </xf>
    <xf numFmtId="17" fontId="0" fillId="0" borderId="0" xfId="0" applyNumberFormat="1" applyAlignment="1">
      <alignment/>
    </xf>
    <xf numFmtId="38" fontId="23" fillId="0" borderId="33" xfId="0" applyNumberFormat="1" applyFont="1" applyBorder="1" applyAlignment="1">
      <alignment vertical="top"/>
    </xf>
    <xf numFmtId="38" fontId="23" fillId="0" borderId="25" xfId="0" applyNumberFormat="1" applyFont="1" applyBorder="1" applyAlignment="1">
      <alignment vertical="top"/>
    </xf>
    <xf numFmtId="0" fontId="23" fillId="0" borderId="25" xfId="0" applyFont="1" applyBorder="1" applyAlignment="1">
      <alignment/>
    </xf>
    <xf numFmtId="38" fontId="23" fillId="0" borderId="25" xfId="0" applyNumberFormat="1" applyFont="1" applyBorder="1" applyAlignment="1" quotePrefix="1">
      <alignment vertical="top"/>
    </xf>
    <xf numFmtId="38" fontId="23" fillId="0" borderId="33" xfId="0" applyNumberFormat="1" applyFont="1" applyBorder="1" applyAlignment="1" quotePrefix="1">
      <alignment vertical="top"/>
    </xf>
    <xf numFmtId="38" fontId="24" fillId="0" borderId="33" xfId="0" applyNumberFormat="1" applyFont="1" applyBorder="1" applyAlignment="1">
      <alignment vertical="top"/>
    </xf>
    <xf numFmtId="38" fontId="24" fillId="0" borderId="25" xfId="0" applyNumberFormat="1" applyFont="1" applyBorder="1" applyAlignment="1">
      <alignment vertical="top"/>
    </xf>
    <xf numFmtId="38" fontId="24" fillId="42" borderId="33" xfId="0" applyNumberFormat="1" applyFont="1" applyFill="1" applyBorder="1" applyAlignment="1">
      <alignment vertical="top"/>
    </xf>
    <xf numFmtId="38" fontId="24" fillId="42" borderId="34" xfId="0" applyNumberFormat="1" applyFont="1" applyFill="1" applyBorder="1" applyAlignment="1">
      <alignment vertical="top"/>
    </xf>
    <xf numFmtId="0" fontId="22" fillId="0" borderId="25" xfId="0" applyFont="1" applyBorder="1" applyAlignment="1">
      <alignment/>
    </xf>
    <xf numFmtId="0" fontId="22" fillId="0" borderId="35" xfId="0" applyFont="1" applyBorder="1" applyAlignment="1">
      <alignment/>
    </xf>
    <xf numFmtId="38" fontId="23" fillId="0" borderId="35" xfId="0" applyNumberFormat="1" applyFont="1" applyBorder="1" applyAlignment="1">
      <alignment vertical="top"/>
    </xf>
    <xf numFmtId="38" fontId="23" fillId="0" borderId="36" xfId="0" applyNumberFormat="1" applyFont="1" applyBorder="1" applyAlignment="1">
      <alignment vertical="top"/>
    </xf>
    <xf numFmtId="38" fontId="24" fillId="0" borderId="35" xfId="0" applyNumberFormat="1" applyFont="1" applyBorder="1" applyAlignment="1">
      <alignment vertical="top"/>
    </xf>
    <xf numFmtId="0" fontId="23" fillId="0" borderId="35" xfId="0" applyFont="1" applyBorder="1" applyAlignment="1">
      <alignment/>
    </xf>
    <xf numFmtId="38" fontId="22" fillId="0" borderId="25" xfId="0" applyNumberFormat="1" applyFont="1" applyBorder="1" applyAlignment="1">
      <alignment vertical="top"/>
    </xf>
    <xf numFmtId="38" fontId="22" fillId="0" borderId="35" xfId="0" applyNumberFormat="1" applyFont="1" applyBorder="1" applyAlignment="1">
      <alignment vertical="top"/>
    </xf>
    <xf numFmtId="38" fontId="23" fillId="0" borderId="36" xfId="0" applyNumberFormat="1" applyFont="1" applyBorder="1" applyAlignment="1" quotePrefix="1">
      <alignment vertical="top"/>
    </xf>
    <xf numFmtId="38" fontId="24" fillId="0" borderId="36" xfId="0" applyNumberFormat="1" applyFont="1" applyBorder="1" applyAlignment="1">
      <alignment vertical="top"/>
    </xf>
    <xf numFmtId="38" fontId="24" fillId="42" borderId="36" xfId="0" applyNumberFormat="1" applyFont="1" applyFill="1" applyBorder="1" applyAlignment="1">
      <alignment vertical="top"/>
    </xf>
    <xf numFmtId="38" fontId="24" fillId="42" borderId="30" xfId="0" applyNumberFormat="1" applyFont="1" applyFill="1" applyBorder="1" applyAlignment="1">
      <alignment vertical="top"/>
    </xf>
    <xf numFmtId="0" fontId="23" fillId="0" borderId="37" xfId="0" applyFont="1" applyBorder="1" applyAlignment="1">
      <alignment vertical="top" wrapText="1"/>
    </xf>
    <xf numFmtId="38" fontId="23" fillId="0" borderId="0" xfId="0" applyNumberFormat="1" applyFont="1" applyFill="1" applyBorder="1" applyAlignment="1">
      <alignment vertical="top"/>
    </xf>
    <xf numFmtId="0" fontId="23" fillId="36" borderId="38" xfId="0" applyFont="1" applyFill="1" applyBorder="1" applyAlignment="1">
      <alignment horizontal="center"/>
    </xf>
    <xf numFmtId="38" fontId="23" fillId="36" borderId="29" xfId="0" applyNumberFormat="1" applyFont="1" applyFill="1" applyBorder="1" applyAlignment="1">
      <alignment vertical="top"/>
    </xf>
    <xf numFmtId="3" fontId="26" fillId="0" borderId="0" xfId="0" applyNumberFormat="1" applyFont="1" applyBorder="1" applyAlignment="1">
      <alignment horizontal="center" vertical="center" wrapText="1"/>
    </xf>
    <xf numFmtId="38" fontId="23" fillId="0" borderId="35" xfId="0" applyNumberFormat="1" applyFont="1" applyBorder="1" applyAlignment="1" quotePrefix="1">
      <alignment vertical="top"/>
    </xf>
    <xf numFmtId="3" fontId="23" fillId="0" borderId="0" xfId="0" applyNumberFormat="1" applyFont="1" applyBorder="1" applyAlignment="1">
      <alignment/>
    </xf>
    <xf numFmtId="0" fontId="24" fillId="0" borderId="25" xfId="0" applyFont="1" applyBorder="1" applyAlignment="1">
      <alignment/>
    </xf>
    <xf numFmtId="3" fontId="23" fillId="0" borderId="35" xfId="0" applyNumberFormat="1" applyFont="1" applyBorder="1" applyAlignment="1">
      <alignment/>
    </xf>
    <xf numFmtId="38" fontId="24" fillId="42" borderId="39" xfId="0" applyNumberFormat="1" applyFont="1" applyFill="1" applyBorder="1" applyAlignment="1">
      <alignment vertical="top"/>
    </xf>
    <xf numFmtId="38" fontId="24" fillId="42" borderId="29" xfId="0" applyNumberFormat="1" applyFont="1" applyFill="1" applyBorder="1" applyAlignment="1">
      <alignment vertical="top"/>
    </xf>
    <xf numFmtId="38" fontId="24" fillId="42" borderId="40" xfId="0" applyNumberFormat="1" applyFont="1" applyFill="1" applyBorder="1" applyAlignment="1">
      <alignment vertical="top"/>
    </xf>
    <xf numFmtId="0" fontId="21" fillId="33" borderId="41" xfId="0" applyFont="1" applyFill="1" applyBorder="1" applyAlignment="1">
      <alignment horizontal="center" vertical="top"/>
    </xf>
    <xf numFmtId="38" fontId="24" fillId="36" borderId="29" xfId="0" applyNumberFormat="1" applyFont="1" applyFill="1" applyBorder="1" applyAlignment="1">
      <alignment vertical="top"/>
    </xf>
    <xf numFmtId="178" fontId="5" fillId="35" borderId="0" xfId="44" applyNumberFormat="1" applyFont="1" applyFill="1" applyBorder="1" applyAlignment="1" applyProtection="1">
      <alignment horizontal="center" vertical="top" wrapText="1"/>
      <protection/>
    </xf>
    <xf numFmtId="0" fontId="21" fillId="33" borderId="41" xfId="0" applyFont="1" applyFill="1" applyBorder="1" applyAlignment="1">
      <alignment horizontal="center" vertical="top" wrapText="1"/>
    </xf>
    <xf numFmtId="0" fontId="22" fillId="0" borderId="37" xfId="0" applyFont="1" applyBorder="1" applyAlignment="1">
      <alignment wrapText="1"/>
    </xf>
    <xf numFmtId="0" fontId="24" fillId="0" borderId="37" xfId="0" applyFont="1" applyBorder="1" applyAlignment="1">
      <alignment wrapText="1"/>
    </xf>
    <xf numFmtId="0" fontId="23" fillId="0" borderId="37" xfId="0" applyFont="1" applyBorder="1" applyAlignment="1">
      <alignment wrapText="1"/>
    </xf>
    <xf numFmtId="0" fontId="24" fillId="0" borderId="37" xfId="0" applyFont="1" applyBorder="1" applyAlignment="1">
      <alignment vertical="top" wrapText="1"/>
    </xf>
    <xf numFmtId="0" fontId="24" fillId="0" borderId="42" xfId="0" applyFont="1" applyBorder="1" applyAlignment="1">
      <alignment vertical="top" wrapText="1"/>
    </xf>
    <xf numFmtId="0" fontId="23"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right" vertical="top" wrapText="1"/>
    </xf>
    <xf numFmtId="0" fontId="0" fillId="0" borderId="0" xfId="0" applyAlignment="1">
      <alignment wrapText="1"/>
    </xf>
    <xf numFmtId="0" fontId="21" fillId="33" borderId="43" xfId="0" applyFont="1" applyFill="1" applyBorder="1" applyAlignment="1">
      <alignment horizontal="center" vertical="top"/>
    </xf>
    <xf numFmtId="0" fontId="24" fillId="0" borderId="35" xfId="0" applyFont="1" applyBorder="1" applyAlignment="1">
      <alignment/>
    </xf>
    <xf numFmtId="0" fontId="23" fillId="0" borderId="35" xfId="0" applyFont="1" applyBorder="1" applyAlignment="1">
      <alignment vertical="top"/>
    </xf>
    <xf numFmtId="0" fontId="24" fillId="0" borderId="25" xfId="0" applyFont="1" applyBorder="1" applyAlignment="1">
      <alignment vertical="top"/>
    </xf>
    <xf numFmtId="0" fontId="24" fillId="0" borderId="35" xfId="0" applyFont="1" applyBorder="1" applyAlignment="1">
      <alignment vertical="top"/>
    </xf>
    <xf numFmtId="0" fontId="23" fillId="0" borderId="25" xfId="0" applyFont="1" applyBorder="1" applyAlignment="1">
      <alignment vertical="top"/>
    </xf>
    <xf numFmtId="38" fontId="24" fillId="42" borderId="12" xfId="0" applyNumberFormat="1" applyFont="1" applyFill="1" applyBorder="1" applyAlignment="1">
      <alignment vertical="top"/>
    </xf>
    <xf numFmtId="0" fontId="24" fillId="0" borderId="40" xfId="0" applyFont="1" applyBorder="1" applyAlignment="1">
      <alignment vertical="top"/>
    </xf>
    <xf numFmtId="0" fontId="0" fillId="44" borderId="0" xfId="0" applyFill="1" applyAlignment="1">
      <alignment/>
    </xf>
    <xf numFmtId="2" fontId="2" fillId="0" borderId="18" xfId="0" applyNumberFormat="1" applyFont="1" applyFill="1" applyBorder="1" applyAlignment="1" applyProtection="1" quotePrefix="1">
      <alignment wrapText="1"/>
      <protection/>
    </xf>
    <xf numFmtId="2" fontId="0" fillId="36" borderId="16" xfId="0" applyNumberFormat="1" applyFont="1" applyFill="1" applyBorder="1" applyAlignment="1" applyProtection="1">
      <alignment shrinkToFit="1"/>
      <protection locked="0"/>
    </xf>
    <xf numFmtId="0" fontId="0" fillId="0" borderId="20" xfId="0" applyFont="1" applyBorder="1" applyAlignment="1">
      <alignment/>
    </xf>
    <xf numFmtId="2" fontId="0" fillId="36" borderId="16" xfId="0" applyNumberFormat="1" applyFont="1" applyFill="1" applyBorder="1" applyAlignment="1">
      <alignment shrinkToFit="1"/>
    </xf>
    <xf numFmtId="177" fontId="1" fillId="36" borderId="11" xfId="0" applyNumberFormat="1" applyFont="1" applyFill="1" applyBorder="1" applyAlignment="1" applyProtection="1">
      <alignment horizontal="center" vertical="center"/>
      <protection locked="0"/>
    </xf>
    <xf numFmtId="2" fontId="0" fillId="36" borderId="16" xfId="0" applyNumberFormat="1" applyFont="1" applyFill="1" applyBorder="1" applyAlignment="1" applyProtection="1" quotePrefix="1">
      <alignment shrinkToFit="1"/>
      <protection locked="0"/>
    </xf>
    <xf numFmtId="20" fontId="1" fillId="36" borderId="11" xfId="0" applyNumberFormat="1" applyFont="1" applyFill="1" applyBorder="1" applyAlignment="1" applyProtection="1">
      <alignment horizontal="center" vertical="center"/>
      <protection locked="0"/>
    </xf>
    <xf numFmtId="0" fontId="0" fillId="44" borderId="16" xfId="0" applyFill="1" applyBorder="1" applyAlignment="1">
      <alignment/>
    </xf>
    <xf numFmtId="0" fontId="10" fillId="44" borderId="20" xfId="0" applyFont="1" applyFill="1" applyBorder="1" applyAlignment="1">
      <alignment/>
    </xf>
    <xf numFmtId="0" fontId="23" fillId="37" borderId="44" xfId="0" applyFont="1" applyFill="1" applyBorder="1" applyAlignment="1">
      <alignment horizontal="center"/>
    </xf>
    <xf numFmtId="0" fontId="21" fillId="33" borderId="45" xfId="0" applyFont="1" applyFill="1" applyBorder="1" applyAlignment="1">
      <alignment horizontal="center" vertical="top" wrapText="1"/>
    </xf>
    <xf numFmtId="3" fontId="23" fillId="37" borderId="42" xfId="0" applyNumberFormat="1" applyFont="1" applyFill="1" applyBorder="1" applyAlignment="1">
      <alignment horizontal="center" wrapText="1"/>
    </xf>
    <xf numFmtId="0" fontId="23" fillId="37" borderId="38" xfId="0" applyFont="1" applyFill="1" applyBorder="1" applyAlignment="1">
      <alignment horizontal="center"/>
    </xf>
    <xf numFmtId="3" fontId="23" fillId="37" borderId="29" xfId="0" applyNumberFormat="1" applyFont="1" applyFill="1" applyBorder="1" applyAlignment="1">
      <alignment horizontal="center" wrapText="1"/>
    </xf>
    <xf numFmtId="0" fontId="23" fillId="40" borderId="42" xfId="0" applyFont="1" applyFill="1" applyBorder="1" applyAlignment="1">
      <alignment horizontal="center" wrapText="1"/>
    </xf>
    <xf numFmtId="0" fontId="23" fillId="38" borderId="42" xfId="0" applyFont="1" applyFill="1" applyBorder="1" applyAlignment="1">
      <alignment horizontal="center" wrapText="1"/>
    </xf>
    <xf numFmtId="0" fontId="10" fillId="0" borderId="0" xfId="0" applyFont="1" applyBorder="1" applyAlignment="1">
      <alignment/>
    </xf>
    <xf numFmtId="6" fontId="5" fillId="35" borderId="46" xfId="0" applyNumberFormat="1" applyFont="1" applyFill="1" applyBorder="1" applyAlignment="1">
      <alignment horizontal="center" vertical="center"/>
    </xf>
    <xf numFmtId="6" fontId="5" fillId="35" borderId="47" xfId="0" applyNumberFormat="1" applyFont="1" applyFill="1" applyBorder="1" applyAlignment="1">
      <alignment horizontal="center" vertical="center"/>
    </xf>
    <xf numFmtId="0" fontId="4" fillId="34" borderId="0" xfId="0" applyFont="1" applyFill="1" applyBorder="1" applyAlignment="1">
      <alignment horizontal="center"/>
    </xf>
    <xf numFmtId="0" fontId="8" fillId="35" borderId="48" xfId="0" applyFont="1" applyFill="1" applyBorder="1" applyAlignment="1">
      <alignment horizontal="center" vertical="center" wrapText="1"/>
    </xf>
    <xf numFmtId="0" fontId="8" fillId="35" borderId="49" xfId="0" applyFont="1" applyFill="1" applyBorder="1" applyAlignment="1">
      <alignment horizontal="center" vertical="center"/>
    </xf>
    <xf numFmtId="0" fontId="1" fillId="35" borderId="50" xfId="0" applyFont="1" applyFill="1" applyBorder="1" applyAlignment="1">
      <alignment horizontal="center" vertical="center" wrapText="1" shrinkToFit="1"/>
    </xf>
    <xf numFmtId="0" fontId="1" fillId="35" borderId="51" xfId="0" applyFont="1" applyFill="1" applyBorder="1" applyAlignment="1">
      <alignment horizontal="center" vertical="center" wrapText="1" shrinkToFit="1"/>
    </xf>
    <xf numFmtId="0" fontId="8" fillId="35" borderId="48" xfId="0" applyFont="1" applyFill="1" applyBorder="1" applyAlignment="1">
      <alignment horizontal="center" vertical="center"/>
    </xf>
    <xf numFmtId="0" fontId="1" fillId="35" borderId="50"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39" xfId="0" applyFont="1" applyBorder="1" applyAlignment="1">
      <alignment horizontal="center" vertical="center" wrapText="1"/>
    </xf>
    <xf numFmtId="0" fontId="1" fillId="35" borderId="48" xfId="0" applyFont="1" applyFill="1" applyBorder="1" applyAlignment="1">
      <alignment horizontal="center" vertical="center" wrapText="1" shrinkToFit="1"/>
    </xf>
    <xf numFmtId="0" fontId="1" fillId="35" borderId="14" xfId="0" applyFont="1" applyFill="1" applyBorder="1" applyAlignment="1">
      <alignment horizontal="center" vertical="center" wrapText="1" shrinkToFit="1"/>
    </xf>
    <xf numFmtId="0" fontId="14" fillId="35" borderId="48" xfId="0" applyFont="1" applyFill="1" applyBorder="1" applyAlignment="1">
      <alignment horizontal="center" vertical="center"/>
    </xf>
    <xf numFmtId="0" fontId="14" fillId="35" borderId="14" xfId="0" applyFont="1" applyFill="1" applyBorder="1" applyAlignment="1">
      <alignment horizontal="center" vertical="center"/>
    </xf>
    <xf numFmtId="0" fontId="14" fillId="35" borderId="50" xfId="0" applyFont="1" applyFill="1" applyBorder="1" applyAlignment="1">
      <alignment horizontal="center" vertical="center" wrapText="1" shrinkToFit="1"/>
    </xf>
    <xf numFmtId="0" fontId="14" fillId="35" borderId="51" xfId="0" applyFont="1" applyFill="1" applyBorder="1" applyAlignment="1">
      <alignment horizontal="center" vertical="center" wrapText="1" shrinkToFit="1"/>
    </xf>
    <xf numFmtId="0" fontId="4" fillId="34" borderId="53" xfId="0" applyFont="1" applyFill="1" applyBorder="1" applyAlignment="1">
      <alignment horizontal="center"/>
    </xf>
    <xf numFmtId="0" fontId="19" fillId="0" borderId="37" xfId="0" applyFont="1" applyBorder="1" applyAlignment="1">
      <alignment wrapText="1"/>
    </xf>
    <xf numFmtId="0" fontId="51" fillId="44" borderId="0" xfId="59" applyFill="1">
      <alignment/>
      <protection/>
    </xf>
    <xf numFmtId="0" fontId="10" fillId="0" borderId="20" xfId="0" applyFont="1" applyFill="1" applyBorder="1" applyAlignment="1">
      <alignment/>
    </xf>
    <xf numFmtId="0" fontId="51" fillId="0" borderId="0" xfId="59">
      <alignment/>
      <protection/>
    </xf>
    <xf numFmtId="0" fontId="9" fillId="0" borderId="20" xfId="0" applyFont="1" applyFill="1" applyBorder="1" applyAlignment="1">
      <alignment/>
    </xf>
    <xf numFmtId="0" fontId="10" fillId="0" borderId="20" xfId="0" applyFont="1" applyFill="1" applyBorder="1" applyAlignment="1">
      <alignment horizontal="right"/>
    </xf>
    <xf numFmtId="0" fontId="9" fillId="0" borderId="20" xfId="0" applyFont="1" applyFill="1" applyBorder="1" applyAlignment="1">
      <alignment/>
    </xf>
    <xf numFmtId="0" fontId="10" fillId="16" borderId="20" xfId="0" applyFont="1" applyFill="1" applyBorder="1" applyAlignment="1">
      <alignment/>
    </xf>
    <xf numFmtId="0" fontId="0" fillId="16" borderId="16" xfId="0" applyFill="1" applyBorder="1" applyAlignment="1">
      <alignment/>
    </xf>
    <xf numFmtId="0" fontId="0" fillId="44" borderId="0" xfId="0" applyFill="1" applyAlignment="1" quotePrefix="1">
      <alignment/>
    </xf>
    <xf numFmtId="178" fontId="20" fillId="0" borderId="0" xfId="44" applyNumberFormat="1" applyFont="1" applyFill="1" applyBorder="1" applyAlignment="1" applyProtection="1">
      <alignment vertical="top"/>
      <protection/>
    </xf>
    <xf numFmtId="0" fontId="29" fillId="0" borderId="0" xfId="0" applyFont="1" applyFill="1" applyBorder="1" applyAlignment="1">
      <alignment/>
    </xf>
    <xf numFmtId="0" fontId="0" fillId="0" borderId="0" xfId="0" applyFill="1" applyBorder="1" applyAlignment="1">
      <alignment horizontal="right"/>
    </xf>
    <xf numFmtId="0" fontId="21" fillId="0" borderId="0" xfId="0" applyFont="1" applyFill="1" applyBorder="1" applyAlignment="1">
      <alignment/>
    </xf>
    <xf numFmtId="178" fontId="29" fillId="0" borderId="0" xfId="44" applyNumberFormat="1" applyFont="1" applyFill="1" applyBorder="1" applyAlignment="1">
      <alignment/>
    </xf>
    <xf numFmtId="3" fontId="17" fillId="0" borderId="0" xfId="0" applyNumberFormat="1" applyFont="1" applyFill="1" applyBorder="1" applyAlignment="1">
      <alignment/>
    </xf>
    <xf numFmtId="0" fontId="17" fillId="0" borderId="0" xfId="0" applyFont="1" applyFill="1" applyBorder="1" applyAlignment="1">
      <alignment/>
    </xf>
    <xf numFmtId="3" fontId="17" fillId="0" borderId="0" xfId="44" applyNumberFormat="1" applyFont="1" applyFill="1" applyBorder="1" applyAlignment="1">
      <alignment/>
    </xf>
    <xf numFmtId="3" fontId="18" fillId="0" borderId="0" xfId="0" applyNumberFormat="1" applyFont="1" applyFill="1" applyBorder="1" applyAlignment="1">
      <alignment/>
    </xf>
    <xf numFmtId="3" fontId="0" fillId="0" borderId="0" xfId="0" applyNumberFormat="1" applyFill="1" applyBorder="1" applyAlignment="1">
      <alignment/>
    </xf>
    <xf numFmtId="3" fontId="17" fillId="0" borderId="0" xfId="44" applyNumberFormat="1" applyFont="1" applyFill="1" applyBorder="1" applyAlignment="1">
      <alignment horizontal="right"/>
    </xf>
    <xf numFmtId="3" fontId="0" fillId="0" borderId="0" xfId="0" applyNumberFormat="1" applyFill="1" applyBorder="1" applyAlignment="1">
      <alignment horizontal="right"/>
    </xf>
    <xf numFmtId="38" fontId="0" fillId="0" borderId="0" xfId="0" applyNumberFormat="1" applyFill="1" applyBorder="1" applyAlignment="1">
      <alignment/>
    </xf>
    <xf numFmtId="3" fontId="21" fillId="0" borderId="0" xfId="0" applyNumberFormat="1" applyFont="1" applyFill="1" applyBorder="1" applyAlignment="1">
      <alignment/>
    </xf>
    <xf numFmtId="3" fontId="18" fillId="0" borderId="0" xfId="0" applyNumberFormat="1" applyFont="1" applyFill="1" applyBorder="1" applyAlignment="1">
      <alignment/>
    </xf>
    <xf numFmtId="178" fontId="0" fillId="0" borderId="0" xfId="0" applyNumberFormat="1" applyFill="1" applyBorder="1" applyAlignment="1">
      <alignment/>
    </xf>
    <xf numFmtId="3" fontId="18" fillId="0" borderId="0" xfId="44" applyNumberFormat="1" applyFont="1" applyFill="1" applyBorder="1" applyAlignment="1">
      <alignment/>
    </xf>
    <xf numFmtId="0" fontId="21" fillId="0" borderId="0" xfId="0" applyFont="1" applyFill="1" applyBorder="1" applyAlignment="1">
      <alignment horizontal="right"/>
    </xf>
    <xf numFmtId="0" fontId="23" fillId="37" borderId="24" xfId="0" applyFont="1" applyFill="1" applyBorder="1" applyAlignment="1">
      <alignment horizontal="center"/>
    </xf>
    <xf numFmtId="17" fontId="19" fillId="0" borderId="0" xfId="0" applyNumberFormat="1" applyFont="1" applyBorder="1" applyAlignment="1">
      <alignment horizontal="center" vertical="center" wrapText="1"/>
    </xf>
    <xf numFmtId="178" fontId="0" fillId="0" borderId="0" xfId="42" applyNumberFormat="1" applyFont="1" applyAlignment="1">
      <alignment/>
    </xf>
    <xf numFmtId="0" fontId="68" fillId="0" borderId="0" xfId="0" applyFont="1" applyBorder="1" applyAlignment="1">
      <alignment/>
    </xf>
    <xf numFmtId="178" fontId="68" fillId="0" borderId="0" xfId="42" applyNumberFormat="1" applyFont="1" applyBorder="1" applyAlignment="1">
      <alignment/>
    </xf>
    <xf numFmtId="38" fontId="23" fillId="0" borderId="0" xfId="0" applyNumberFormat="1" applyFont="1" applyAlignment="1">
      <alignment/>
    </xf>
    <xf numFmtId="17" fontId="5" fillId="35" borderId="0" xfId="44" applyNumberFormat="1" applyFont="1" applyFill="1" applyBorder="1" applyAlignment="1" applyProtection="1">
      <alignment horizontal="center" vertical="top" wrapText="1"/>
      <protection/>
    </xf>
    <xf numFmtId="2" fontId="33" fillId="36" borderId="16" xfId="0" applyNumberFormat="1" applyFont="1" applyFill="1" applyBorder="1" applyAlignment="1" applyProtection="1">
      <alignment shrinkToFit="1"/>
      <protection locked="0"/>
    </xf>
    <xf numFmtId="38" fontId="23" fillId="0" borderId="54" xfId="0" applyNumberFormat="1" applyFont="1" applyBorder="1" applyAlignment="1">
      <alignment vertical="top"/>
    </xf>
    <xf numFmtId="38" fontId="23" fillId="0" borderId="55" xfId="0" applyNumberFormat="1" applyFont="1" applyBorder="1" applyAlignment="1">
      <alignment vertical="top"/>
    </xf>
    <xf numFmtId="0" fontId="51" fillId="0" borderId="0" xfId="59" applyFill="1">
      <alignment/>
      <protection/>
    </xf>
    <xf numFmtId="0" fontId="69" fillId="4" borderId="0" xfId="0" applyFont="1" applyFill="1" applyAlignment="1">
      <alignment/>
    </xf>
    <xf numFmtId="178" fontId="0" fillId="4" borderId="0" xfId="42" applyNumberFormat="1" applyFont="1" applyFill="1" applyAlignment="1">
      <alignment/>
    </xf>
    <xf numFmtId="0" fontId="0" fillId="4" borderId="0" xfId="0" applyFill="1" applyAlignment="1">
      <alignment/>
    </xf>
    <xf numFmtId="0" fontId="70" fillId="4" borderId="0" xfId="0" applyFont="1" applyFill="1" applyAlignment="1">
      <alignment/>
    </xf>
    <xf numFmtId="0" fontId="68" fillId="4" borderId="0" xfId="0" applyFont="1" applyFill="1" applyAlignment="1">
      <alignment/>
    </xf>
    <xf numFmtId="178" fontId="71" fillId="4" borderId="0" xfId="42" applyNumberFormat="1" applyFont="1" applyFill="1" applyAlignment="1">
      <alignment horizontal="right"/>
    </xf>
    <xf numFmtId="0" fontId="68" fillId="0" borderId="0" xfId="0" applyFont="1" applyAlignment="1">
      <alignment/>
    </xf>
    <xf numFmtId="178" fontId="68" fillId="4" borderId="0" xfId="42" applyNumberFormat="1" applyFont="1" applyFill="1" applyAlignment="1">
      <alignment/>
    </xf>
    <xf numFmtId="0" fontId="72" fillId="4" borderId="56" xfId="0" applyFont="1" applyFill="1" applyBorder="1" applyAlignment="1">
      <alignment/>
    </xf>
    <xf numFmtId="178" fontId="72" fillId="4" borderId="56" xfId="42" applyNumberFormat="1" applyFont="1" applyFill="1" applyBorder="1" applyAlignment="1">
      <alignment/>
    </xf>
    <xf numFmtId="178" fontId="0" fillId="0" borderId="0" xfId="0" applyNumberFormat="1" applyAlignment="1">
      <alignment/>
    </xf>
    <xf numFmtId="178" fontId="68" fillId="0" borderId="0" xfId="0" applyNumberFormat="1" applyFont="1" applyAlignment="1">
      <alignment/>
    </xf>
    <xf numFmtId="178" fontId="0" fillId="0" borderId="0" xfId="0" applyNumberFormat="1" applyFill="1" applyAlignment="1">
      <alignment/>
    </xf>
    <xf numFmtId="178" fontId="20" fillId="0" borderId="0" xfId="0" applyNumberFormat="1" applyFont="1" applyFill="1" applyAlignment="1">
      <alignment/>
    </xf>
    <xf numFmtId="0" fontId="72" fillId="4" borderId="0" xfId="0" applyFont="1" applyFill="1" applyAlignment="1">
      <alignment/>
    </xf>
    <xf numFmtId="0" fontId="68" fillId="4" borderId="52" xfId="0" applyFont="1" applyFill="1" applyBorder="1" applyAlignment="1">
      <alignment/>
    </xf>
    <xf numFmtId="175" fontId="68" fillId="4" borderId="41" xfId="63" applyNumberFormat="1" applyFont="1" applyFill="1" applyBorder="1" applyAlignment="1">
      <alignment/>
    </xf>
    <xf numFmtId="0" fontId="68" fillId="4" borderId="25" xfId="0" applyFont="1" applyFill="1" applyBorder="1" applyAlignment="1">
      <alignment/>
    </xf>
    <xf numFmtId="175" fontId="68" fillId="4" borderId="35" xfId="63" applyNumberFormat="1" applyFont="1" applyFill="1" applyBorder="1" applyAlignment="1">
      <alignment/>
    </xf>
    <xf numFmtId="0" fontId="68" fillId="4" borderId="39" xfId="0" applyFont="1" applyFill="1" applyBorder="1" applyAlignment="1">
      <alignment/>
    </xf>
    <xf numFmtId="175" fontId="68" fillId="4" borderId="40" xfId="63" applyNumberFormat="1" applyFont="1" applyFill="1" applyBorder="1" applyAlignment="1">
      <alignment/>
    </xf>
    <xf numFmtId="175" fontId="68" fillId="0" borderId="0" xfId="63" applyNumberFormat="1" applyFont="1" applyAlignment="1">
      <alignment/>
    </xf>
    <xf numFmtId="175" fontId="68" fillId="0" borderId="0" xfId="63" applyNumberFormat="1" applyFont="1" applyBorder="1" applyAlignment="1">
      <alignment/>
    </xf>
    <xf numFmtId="10" fontId="68" fillId="0" borderId="0" xfId="63" applyNumberFormat="1" applyFont="1" applyBorder="1" applyAlignment="1">
      <alignment/>
    </xf>
    <xf numFmtId="178" fontId="68" fillId="0" borderId="0" xfId="42" applyNumberFormat="1" applyFont="1" applyAlignment="1">
      <alignment/>
    </xf>
    <xf numFmtId="6" fontId="5" fillId="35" borderId="46" xfId="0" applyNumberFormat="1" applyFont="1" applyFill="1" applyBorder="1" applyAlignment="1">
      <alignment horizontal="center" vertical="center"/>
    </xf>
    <xf numFmtId="6" fontId="5" fillId="35" borderId="47" xfId="0" applyNumberFormat="1" applyFont="1" applyFill="1" applyBorder="1" applyAlignment="1">
      <alignment horizontal="center" vertical="center"/>
    </xf>
    <xf numFmtId="0" fontId="4" fillId="34" borderId="0" xfId="0" applyFont="1" applyFill="1" applyBorder="1" applyAlignment="1">
      <alignment horizontal="center"/>
    </xf>
    <xf numFmtId="0" fontId="8" fillId="35" borderId="48" xfId="0" applyFont="1" applyFill="1" applyBorder="1" applyAlignment="1">
      <alignment horizontal="center" vertical="center" wrapText="1"/>
    </xf>
    <xf numFmtId="0" fontId="8" fillId="35" borderId="49" xfId="0" applyFont="1" applyFill="1" applyBorder="1" applyAlignment="1">
      <alignment horizontal="center" vertical="center"/>
    </xf>
    <xf numFmtId="0" fontId="1" fillId="35" borderId="50" xfId="0" applyFont="1" applyFill="1" applyBorder="1" applyAlignment="1">
      <alignment horizontal="center" vertical="center" wrapText="1" shrinkToFit="1"/>
    </xf>
    <xf numFmtId="0" fontId="1" fillId="35" borderId="51" xfId="0" applyFont="1" applyFill="1" applyBorder="1" applyAlignment="1">
      <alignment horizontal="center" vertical="center" wrapText="1" shrinkToFit="1"/>
    </xf>
    <xf numFmtId="0" fontId="8" fillId="35" borderId="48" xfId="0" applyFont="1" applyFill="1" applyBorder="1" applyAlignment="1">
      <alignment horizontal="center" vertical="center"/>
    </xf>
    <xf numFmtId="0" fontId="1" fillId="35" borderId="50"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39" xfId="0" applyFont="1" applyBorder="1" applyAlignment="1">
      <alignment horizontal="center" vertical="center" wrapText="1"/>
    </xf>
    <xf numFmtId="0" fontId="1" fillId="34" borderId="0" xfId="0" applyFont="1" applyFill="1" applyBorder="1" applyAlignment="1">
      <alignment horizontal="center"/>
    </xf>
    <xf numFmtId="0" fontId="1" fillId="35" borderId="48" xfId="0" applyFont="1" applyFill="1" applyBorder="1" applyAlignment="1">
      <alignment horizontal="center" vertical="center" wrapText="1" shrinkToFit="1"/>
    </xf>
    <xf numFmtId="0" fontId="1" fillId="35" borderId="14" xfId="0" applyFont="1" applyFill="1" applyBorder="1" applyAlignment="1">
      <alignment horizontal="center" vertical="center" wrapText="1" shrinkToFit="1"/>
    </xf>
    <xf numFmtId="0" fontId="14" fillId="35" borderId="48" xfId="0" applyFont="1" applyFill="1" applyBorder="1" applyAlignment="1">
      <alignment horizontal="center" vertical="center"/>
    </xf>
    <xf numFmtId="0" fontId="14" fillId="35" borderId="14" xfId="0" applyFont="1" applyFill="1" applyBorder="1" applyAlignment="1">
      <alignment horizontal="center" vertical="center"/>
    </xf>
    <xf numFmtId="0" fontId="14" fillId="35" borderId="50" xfId="0" applyFont="1" applyFill="1" applyBorder="1" applyAlignment="1">
      <alignment horizontal="center" vertical="center" wrapText="1" shrinkToFit="1"/>
    </xf>
    <xf numFmtId="0" fontId="14" fillId="35" borderId="51" xfId="0" applyFont="1" applyFill="1" applyBorder="1" applyAlignment="1">
      <alignment horizontal="center" vertical="center" wrapText="1" shrinkToFit="1"/>
    </xf>
    <xf numFmtId="0" fontId="4" fillId="34" borderId="53" xfId="0" applyFont="1" applyFill="1" applyBorder="1" applyAlignment="1">
      <alignment horizontal="center"/>
    </xf>
    <xf numFmtId="3" fontId="26" fillId="0" borderId="0" xfId="0" applyNumberFormat="1" applyFont="1" applyBorder="1" applyAlignment="1">
      <alignment horizontal="center" vertical="center" wrapText="1"/>
    </xf>
    <xf numFmtId="0" fontId="14" fillId="0" borderId="25" xfId="0" applyFont="1" applyBorder="1" applyAlignment="1">
      <alignment horizontal="center" vertical="center" wrapText="1"/>
    </xf>
    <xf numFmtId="0" fontId="14" fillId="35" borderId="10" xfId="0" applyFont="1" applyFill="1" applyBorder="1" applyAlignment="1">
      <alignment horizontal="center" vertical="center"/>
    </xf>
    <xf numFmtId="0" fontId="19" fillId="0" borderId="0" xfId="0" applyFont="1" applyFill="1" applyBorder="1" applyAlignment="1">
      <alignment horizontal="center" vertical="center" wrapText="1"/>
    </xf>
    <xf numFmtId="178" fontId="5" fillId="0" borderId="0" xfId="44" applyNumberFormat="1" applyFont="1" applyFill="1" applyBorder="1" applyAlignment="1" applyProtection="1">
      <alignment horizontal="center" vertical="top"/>
      <protection/>
    </xf>
    <xf numFmtId="0" fontId="21" fillId="0" borderId="0" xfId="0" applyFont="1" applyFill="1" applyBorder="1" applyAlignment="1">
      <alignment horizontal="center"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dxfs count="19">
    <dxf>
      <font>
        <color rgb="FF006100"/>
      </font>
      <fill>
        <patternFill>
          <bgColor rgb="FFC6EFCE"/>
        </patternFill>
      </fill>
    </dxf>
    <dxf>
      <font>
        <color rgb="FF9C0006"/>
      </font>
      <fill>
        <patternFill>
          <bgColor rgb="FFFFC7CE"/>
        </patternFill>
      </fill>
    </dxf>
    <dxf>
      <font>
        <strike val="0"/>
        <color indexed="9"/>
      </font>
    </dxf>
    <dxf>
      <font>
        <strike val="0"/>
        <color indexed="9"/>
      </font>
    </dxf>
    <dxf>
      <font>
        <strike val="0"/>
        <color indexed="9"/>
      </font>
    </dxf>
    <dxf>
      <font>
        <color indexed="10"/>
      </font>
      <fill>
        <patternFill patternType="none">
          <bgColor indexed="65"/>
        </patternFill>
      </fill>
    </dxf>
    <dxf>
      <font>
        <color indexed="11"/>
      </font>
      <fill>
        <patternFill patternType="none">
          <bgColor indexed="65"/>
        </patternFill>
      </fill>
    </dxf>
    <dxf>
      <font>
        <strike val="0"/>
        <color indexed="9"/>
      </font>
    </dxf>
    <dxf>
      <font>
        <color indexed="10"/>
      </font>
    </dxf>
    <dxf>
      <font>
        <color indexed="11"/>
      </font>
    </dxf>
    <dxf>
      <font>
        <strike val="0"/>
        <color indexed="9"/>
      </font>
    </dxf>
    <dxf>
      <font>
        <strike val="0"/>
        <color indexed="9"/>
      </font>
    </dxf>
    <dxf>
      <font>
        <strike val="0"/>
        <color indexed="9"/>
      </font>
    </dxf>
    <dxf>
      <font>
        <strike val="0"/>
        <color indexed="9"/>
      </font>
    </dxf>
    <dxf>
      <font>
        <color indexed="10"/>
      </font>
      <fill>
        <patternFill patternType="none">
          <bgColor indexed="65"/>
        </patternFill>
      </fill>
    </dxf>
    <dxf>
      <font>
        <color indexed="11"/>
      </font>
      <fill>
        <patternFill patternType="none">
          <bgColor indexed="65"/>
        </patternFill>
      </fill>
    </dxf>
    <dxf>
      <font>
        <strike val="0"/>
        <color indexed="9"/>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0</xdr:rowOff>
    </xdr:from>
    <xdr:to>
      <xdr:col>2</xdr:col>
      <xdr:colOff>9525</xdr:colOff>
      <xdr:row>2</xdr:row>
      <xdr:rowOff>142875</xdr:rowOff>
    </xdr:to>
    <xdr:pic>
      <xdr:nvPicPr>
        <xdr:cNvPr id="1" name="CommandButton1"/>
        <xdr:cNvPicPr preferRelativeResize="1">
          <a:picLocks noChangeAspect="1"/>
        </xdr:cNvPicPr>
      </xdr:nvPicPr>
      <xdr:blipFill>
        <a:blip r:embed="rId1"/>
        <a:stretch>
          <a:fillRect/>
        </a:stretch>
      </xdr:blipFill>
      <xdr:spPr>
        <a:xfrm>
          <a:off x="1190625" y="0"/>
          <a:ext cx="1219200" cy="628650"/>
        </a:xfrm>
        <a:prstGeom prst="rect">
          <a:avLst/>
        </a:prstGeom>
        <a:noFill/>
        <a:ln w="9525" cmpd="sng">
          <a:noFill/>
        </a:ln>
      </xdr:spPr>
    </xdr:pic>
    <xdr:clientData fPrintsWithSheet="0"/>
  </xdr:twoCellAnchor>
  <xdr:twoCellAnchor editAs="oneCell">
    <xdr:from>
      <xdr:col>1</xdr:col>
      <xdr:colOff>533400</xdr:colOff>
      <xdr:row>2</xdr:row>
      <xdr:rowOff>171450</xdr:rowOff>
    </xdr:from>
    <xdr:to>
      <xdr:col>2</xdr:col>
      <xdr:colOff>19050</xdr:colOff>
      <xdr:row>6</xdr:row>
      <xdr:rowOff>0</xdr:rowOff>
    </xdr:to>
    <xdr:pic>
      <xdr:nvPicPr>
        <xdr:cNvPr id="2" name="CommandButton2"/>
        <xdr:cNvPicPr preferRelativeResize="1">
          <a:picLocks noChangeAspect="1"/>
        </xdr:cNvPicPr>
      </xdr:nvPicPr>
      <xdr:blipFill>
        <a:blip r:embed="rId2"/>
        <a:stretch>
          <a:fillRect/>
        </a:stretch>
      </xdr:blipFill>
      <xdr:spPr>
        <a:xfrm>
          <a:off x="1200150" y="657225"/>
          <a:ext cx="1219200" cy="752475"/>
        </a:xfrm>
        <a:prstGeom prst="rect">
          <a:avLst/>
        </a:prstGeom>
        <a:noFill/>
        <a:ln w="9525" cmpd="sng">
          <a:noFill/>
        </a:ln>
      </xdr:spPr>
    </xdr:pic>
    <xdr:clientData fPrintsWithSheet="0"/>
  </xdr:twoCellAnchor>
  <xdr:twoCellAnchor editAs="oneCell">
    <xdr:from>
      <xdr:col>0</xdr:col>
      <xdr:colOff>76200</xdr:colOff>
      <xdr:row>0</xdr:row>
      <xdr:rowOff>123825</xdr:rowOff>
    </xdr:from>
    <xdr:to>
      <xdr:col>1</xdr:col>
      <xdr:colOff>447675</xdr:colOff>
      <xdr:row>2</xdr:row>
      <xdr:rowOff>228600</xdr:rowOff>
    </xdr:to>
    <xdr:pic>
      <xdr:nvPicPr>
        <xdr:cNvPr id="3" name="CommandButton3"/>
        <xdr:cNvPicPr preferRelativeResize="1">
          <a:picLocks noChangeAspect="1"/>
        </xdr:cNvPicPr>
      </xdr:nvPicPr>
      <xdr:blipFill>
        <a:blip r:embed="rId3"/>
        <a:stretch>
          <a:fillRect/>
        </a:stretch>
      </xdr:blipFill>
      <xdr:spPr>
        <a:xfrm>
          <a:off x="76200" y="123825"/>
          <a:ext cx="1038225" cy="590550"/>
        </a:xfrm>
        <a:prstGeom prst="rect">
          <a:avLst/>
        </a:prstGeom>
        <a:noFill/>
        <a:ln w="9525" cmpd="sng">
          <a:noFill/>
        </a:ln>
      </xdr:spPr>
    </xdr:pic>
    <xdr:clientData fPrintsWithSheet="0"/>
  </xdr:twoCellAnchor>
  <xdr:twoCellAnchor editAs="oneCell">
    <xdr:from>
      <xdr:col>0</xdr:col>
      <xdr:colOff>0</xdr:colOff>
      <xdr:row>2</xdr:row>
      <xdr:rowOff>257175</xdr:rowOff>
    </xdr:from>
    <xdr:to>
      <xdr:col>0</xdr:col>
      <xdr:colOff>495300</xdr:colOff>
      <xdr:row>5</xdr:row>
      <xdr:rowOff>180975</xdr:rowOff>
    </xdr:to>
    <xdr:pic>
      <xdr:nvPicPr>
        <xdr:cNvPr id="4" name="CommandButton4"/>
        <xdr:cNvPicPr preferRelativeResize="1">
          <a:picLocks noChangeAspect="1"/>
        </xdr:cNvPicPr>
      </xdr:nvPicPr>
      <xdr:blipFill>
        <a:blip r:embed="rId4"/>
        <a:stretch>
          <a:fillRect/>
        </a:stretch>
      </xdr:blipFill>
      <xdr:spPr>
        <a:xfrm>
          <a:off x="0" y="742950"/>
          <a:ext cx="495300" cy="657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K352"/>
  <sheetViews>
    <sheetView zoomScalePageLayoutView="0" workbookViewId="0" topLeftCell="A1">
      <selection activeCell="I6" sqref="I6"/>
    </sheetView>
  </sheetViews>
  <sheetFormatPr defaultColWidth="9.140625" defaultRowHeight="15" customHeight="1"/>
  <cols>
    <col min="1" max="1" width="10.00390625" style="67" customWidth="1"/>
    <col min="2" max="2" width="26.00390625" style="67" customWidth="1"/>
    <col min="3" max="3" width="12.28125" style="0" customWidth="1"/>
    <col min="4" max="4" width="13.140625" style="0" customWidth="1"/>
    <col min="5" max="5" width="13.8515625" style="78" customWidth="1"/>
    <col min="6" max="6" width="8.57421875" style="0" customWidth="1"/>
    <col min="7" max="7" width="12.28125" style="0" customWidth="1"/>
    <col min="8" max="8" width="13.140625" style="0" customWidth="1"/>
    <col min="9" max="9" width="20.57421875" style="12" customWidth="1"/>
    <col min="10" max="10" width="10.57421875" style="23" customWidth="1"/>
    <col min="11" max="11" width="10.7109375" style="23" bestFit="1" customWidth="1"/>
    <col min="12" max="12" width="10.00390625" style="23" bestFit="1" customWidth="1"/>
    <col min="13" max="13" width="10.28125" style="23" bestFit="1" customWidth="1"/>
    <col min="14" max="14" width="10.00390625" style="0" customWidth="1"/>
    <col min="16" max="16" width="7.57421875" style="0" customWidth="1"/>
    <col min="17" max="17" width="20.8515625" style="181" customWidth="1"/>
    <col min="18" max="18" width="9.8515625" style="0" customWidth="1"/>
    <col min="19" max="19" width="12.28125" style="0" bestFit="1" customWidth="1"/>
    <col min="20" max="20" width="12.140625" style="0" customWidth="1"/>
    <col min="21" max="21" width="20.421875" style="0" bestFit="1" customWidth="1"/>
  </cols>
  <sheetData>
    <row r="1" spans="1:37" ht="15" customHeight="1" thickBot="1">
      <c r="A1" s="66"/>
      <c r="B1" s="66"/>
      <c r="C1" s="8"/>
      <c r="D1" s="8"/>
      <c r="E1" s="74"/>
      <c r="F1" s="17" t="s">
        <v>34</v>
      </c>
      <c r="G1" s="364" t="s">
        <v>30</v>
      </c>
      <c r="H1" s="364"/>
      <c r="I1" s="19" t="s">
        <v>38</v>
      </c>
      <c r="J1" s="21"/>
      <c r="K1" s="21"/>
      <c r="L1" s="21"/>
      <c r="M1" s="21"/>
      <c r="N1" s="5"/>
      <c r="O1" s="5"/>
      <c r="P1" s="5"/>
      <c r="R1" s="5"/>
      <c r="S1" s="5"/>
      <c r="T1" s="5"/>
      <c r="U1" s="5"/>
      <c r="V1" s="5"/>
      <c r="W1" s="5"/>
      <c r="X1" s="5"/>
      <c r="Y1" s="5"/>
      <c r="Z1" s="5"/>
      <c r="AA1" s="5"/>
      <c r="AB1" s="5"/>
      <c r="AC1" s="5"/>
      <c r="AD1" s="5"/>
      <c r="AE1" s="5"/>
      <c r="AF1" s="5"/>
      <c r="AG1" s="5"/>
      <c r="AH1" s="5"/>
      <c r="AI1" s="5"/>
      <c r="AJ1" s="5"/>
      <c r="AK1" s="5"/>
    </row>
    <row r="2" spans="1:37" ht="23.25" customHeight="1" thickBot="1">
      <c r="A2" s="66"/>
      <c r="B2" s="66"/>
      <c r="C2" s="14"/>
      <c r="D2" s="14"/>
      <c r="E2" s="75" t="s">
        <v>28</v>
      </c>
      <c r="F2" s="258">
        <v>0.4277777777777778</v>
      </c>
      <c r="G2" s="6" t="s">
        <v>28</v>
      </c>
      <c r="H2" s="18">
        <v>0.513888888888889</v>
      </c>
      <c r="I2" s="258">
        <v>0.43124999999999997</v>
      </c>
      <c r="J2" s="21"/>
      <c r="K2" s="21"/>
      <c r="L2" s="21"/>
      <c r="M2" s="21"/>
      <c r="N2" s="5"/>
      <c r="O2" s="5"/>
      <c r="P2" s="5"/>
      <c r="R2" s="5"/>
      <c r="S2" s="5"/>
      <c r="T2" s="5"/>
      <c r="U2" s="5"/>
      <c r="V2" s="5"/>
      <c r="W2" s="5"/>
      <c r="X2" s="5"/>
      <c r="Y2" s="5"/>
      <c r="Z2" s="5"/>
      <c r="AA2" s="5"/>
      <c r="AB2" s="5"/>
      <c r="AC2" s="5"/>
      <c r="AD2" s="5"/>
      <c r="AE2" s="5"/>
      <c r="AF2" s="5"/>
      <c r="AG2" s="5"/>
      <c r="AH2" s="5"/>
      <c r="AI2" s="5"/>
      <c r="AJ2" s="5"/>
      <c r="AK2" s="5"/>
    </row>
    <row r="3" spans="1:37" ht="23.25" customHeight="1" thickBot="1">
      <c r="A3" s="66"/>
      <c r="B3" s="66"/>
      <c r="C3" s="14"/>
      <c r="D3" s="14"/>
      <c r="E3" s="75" t="s">
        <v>29</v>
      </c>
      <c r="F3" s="16">
        <v>42388</v>
      </c>
      <c r="G3" s="6" t="s">
        <v>29</v>
      </c>
      <c r="H3" s="16">
        <v>42388</v>
      </c>
      <c r="I3" s="256">
        <v>42326</v>
      </c>
      <c r="J3" s="21"/>
      <c r="K3" s="21"/>
      <c r="L3" s="21"/>
      <c r="M3" s="21"/>
      <c r="N3" s="5"/>
      <c r="O3" s="5"/>
      <c r="P3" s="5"/>
      <c r="R3" s="10"/>
      <c r="S3" s="9"/>
      <c r="T3" s="5"/>
      <c r="U3" s="5"/>
      <c r="V3" s="5"/>
      <c r="W3" s="5"/>
      <c r="X3" s="5"/>
      <c r="Y3" s="5"/>
      <c r="Z3" s="5"/>
      <c r="AA3" s="5"/>
      <c r="AB3" s="5"/>
      <c r="AC3" s="5"/>
      <c r="AD3" s="5"/>
      <c r="AE3" s="5"/>
      <c r="AF3" s="5"/>
      <c r="AG3" s="5"/>
      <c r="AH3" s="5"/>
      <c r="AI3" s="5"/>
      <c r="AJ3" s="5"/>
      <c r="AK3" s="5"/>
    </row>
    <row r="4" spans="1:37" ht="15" customHeight="1" thickBot="1">
      <c r="A4" s="66"/>
      <c r="B4" s="66"/>
      <c r="C4" s="5"/>
      <c r="D4" s="13"/>
      <c r="E4" s="76"/>
      <c r="F4" s="5"/>
      <c r="G4" s="371" t="s">
        <v>36</v>
      </c>
      <c r="H4" s="371"/>
      <c r="I4" s="20" t="s">
        <v>37</v>
      </c>
      <c r="J4" s="354" t="s">
        <v>43</v>
      </c>
      <c r="K4" s="354"/>
      <c r="L4" s="21"/>
      <c r="M4" s="21"/>
      <c r="N4" s="5"/>
      <c r="O4" s="5"/>
      <c r="P4" s="5"/>
      <c r="R4" s="5"/>
      <c r="S4" s="5"/>
      <c r="T4" s="5"/>
      <c r="U4" s="5"/>
      <c r="V4" s="5"/>
      <c r="W4" s="5"/>
      <c r="X4" s="5"/>
      <c r="Y4" s="5"/>
      <c r="Z4" s="5"/>
      <c r="AA4" s="5"/>
      <c r="AB4" s="5"/>
      <c r="AC4" s="5"/>
      <c r="AD4" s="5"/>
      <c r="AE4" s="5"/>
      <c r="AF4" s="5"/>
      <c r="AG4" s="5"/>
      <c r="AH4" s="5"/>
      <c r="AI4" s="5"/>
      <c r="AJ4" s="5"/>
      <c r="AK4" s="5"/>
    </row>
    <row r="5" spans="1:37" ht="19.5" customHeight="1" thickBot="1">
      <c r="A5" s="66"/>
      <c r="B5" s="66"/>
      <c r="C5" s="5"/>
      <c r="D5" s="7"/>
      <c r="E5" s="77"/>
      <c r="F5" s="7" t="s">
        <v>27</v>
      </c>
      <c r="G5" s="352">
        <f>J10-K10</f>
        <v>8979.039999999994</v>
      </c>
      <c r="H5" s="353"/>
      <c r="I5" s="41">
        <f>L10-M10</f>
        <v>8462.759999999991</v>
      </c>
      <c r="J5" s="352">
        <f>G5-I5</f>
        <v>516.2800000000025</v>
      </c>
      <c r="K5" s="353"/>
      <c r="L5" s="21"/>
      <c r="M5" s="21"/>
      <c r="N5" s="5"/>
      <c r="O5" s="5"/>
      <c r="P5" s="5"/>
      <c r="R5" s="5"/>
      <c r="S5" s="5"/>
      <c r="T5" s="5"/>
      <c r="U5" s="5"/>
      <c r="V5" s="5"/>
      <c r="W5" s="5"/>
      <c r="X5" s="5"/>
      <c r="Y5" s="5"/>
      <c r="Z5" s="5"/>
      <c r="AA5" s="5"/>
      <c r="AB5" s="5"/>
      <c r="AC5" s="5"/>
      <c r="AD5" s="5"/>
      <c r="AE5" s="5"/>
      <c r="AF5" s="5"/>
      <c r="AG5" s="5"/>
      <c r="AH5" s="5"/>
      <c r="AI5" s="5"/>
      <c r="AJ5" s="5"/>
      <c r="AK5" s="5"/>
    </row>
    <row r="6" spans="1:37" ht="15" customHeight="1">
      <c r="A6" s="66"/>
      <c r="B6" s="66"/>
      <c r="C6" s="5"/>
      <c r="D6" s="5"/>
      <c r="E6" s="76"/>
      <c r="F6" s="5"/>
      <c r="G6" s="5"/>
      <c r="H6" s="5"/>
      <c r="I6" s="11"/>
      <c r="J6" s="21"/>
      <c r="K6" s="21"/>
      <c r="L6" s="21"/>
      <c r="M6" s="22"/>
      <c r="N6" s="13"/>
      <c r="O6" s="13"/>
      <c r="P6" s="5"/>
      <c r="R6" s="5"/>
      <c r="S6" s="5"/>
      <c r="T6" s="5"/>
      <c r="U6" s="5"/>
      <c r="V6" s="5"/>
      <c r="W6" s="5"/>
      <c r="X6" s="5"/>
      <c r="Y6" s="5"/>
      <c r="Z6" s="5"/>
      <c r="AA6" s="5"/>
      <c r="AB6" s="5"/>
      <c r="AC6" s="5"/>
      <c r="AD6" s="5"/>
      <c r="AE6" s="5"/>
      <c r="AF6" s="5"/>
      <c r="AG6" s="5"/>
      <c r="AH6" s="5"/>
      <c r="AI6" s="5"/>
      <c r="AJ6" s="5"/>
      <c r="AK6" s="5"/>
    </row>
    <row r="7" ht="0.75" customHeight="1" thickBot="1"/>
    <row r="8" spans="1:37" ht="31.5" customHeight="1">
      <c r="A8" s="362" t="s">
        <v>32</v>
      </c>
      <c r="B8" s="367" t="s">
        <v>0</v>
      </c>
      <c r="C8" s="365" t="s">
        <v>58</v>
      </c>
      <c r="D8" s="365" t="s">
        <v>59</v>
      </c>
      <c r="E8" s="369" t="s">
        <v>35</v>
      </c>
      <c r="F8" s="357" t="s">
        <v>33</v>
      </c>
      <c r="G8" s="365" t="s">
        <v>60</v>
      </c>
      <c r="H8" s="365" t="s">
        <v>61</v>
      </c>
      <c r="I8" s="360" t="s">
        <v>62</v>
      </c>
      <c r="J8" s="355" t="s">
        <v>2</v>
      </c>
      <c r="K8" s="359"/>
      <c r="L8" s="355" t="s">
        <v>31</v>
      </c>
      <c r="M8" s="356"/>
      <c r="N8" s="44" t="s">
        <v>43</v>
      </c>
      <c r="O8" s="5"/>
      <c r="P8" s="5"/>
      <c r="R8" s="5"/>
      <c r="S8" s="5"/>
      <c r="T8" s="5"/>
      <c r="U8" s="5"/>
      <c r="V8" s="5"/>
      <c r="W8" s="5"/>
      <c r="X8" s="5"/>
      <c r="Y8" s="5"/>
      <c r="Z8" s="5"/>
      <c r="AA8" s="5"/>
      <c r="AB8" s="5"/>
      <c r="AC8" s="5"/>
      <c r="AD8" s="5"/>
      <c r="AE8" s="5"/>
      <c r="AF8" s="5"/>
      <c r="AG8" s="5"/>
      <c r="AH8" s="5"/>
      <c r="AI8" s="5"/>
      <c r="AJ8" s="5"/>
      <c r="AK8" s="5"/>
    </row>
    <row r="9" spans="1:37" ht="46.5" customHeight="1" thickBot="1">
      <c r="A9" s="363"/>
      <c r="B9" s="368"/>
      <c r="C9" s="366"/>
      <c r="D9" s="366"/>
      <c r="E9" s="370"/>
      <c r="F9" s="358"/>
      <c r="G9" s="366"/>
      <c r="H9" s="366"/>
      <c r="I9" s="361"/>
      <c r="J9" s="24" t="s">
        <v>39</v>
      </c>
      <c r="K9" s="25" t="s">
        <v>40</v>
      </c>
      <c r="L9" s="26" t="s">
        <v>39</v>
      </c>
      <c r="M9" s="25" t="s">
        <v>40</v>
      </c>
      <c r="N9" s="27" t="s">
        <v>44</v>
      </c>
      <c r="O9" s="5"/>
      <c r="P9" s="5"/>
      <c r="R9" s="5"/>
      <c r="S9" s="5"/>
      <c r="T9" s="5"/>
      <c r="U9" s="5"/>
      <c r="V9" s="5"/>
      <c r="W9" s="5"/>
      <c r="X9" s="5"/>
      <c r="Y9" s="5"/>
      <c r="Z9" s="5"/>
      <c r="AA9" s="5"/>
      <c r="AB9" s="5"/>
      <c r="AC9" s="5"/>
      <c r="AD9" s="5"/>
      <c r="AE9" s="5"/>
      <c r="AF9" s="5"/>
      <c r="AG9" s="5"/>
      <c r="AH9" s="5"/>
      <c r="AI9" s="5"/>
      <c r="AJ9" s="5"/>
      <c r="AK9" s="5"/>
    </row>
    <row r="10" spans="1:37" ht="27.75" customHeight="1">
      <c r="A10" s="71"/>
      <c r="B10" s="68" t="s">
        <v>1</v>
      </c>
      <c r="C10" s="1">
        <f>SUM(C12:C350)</f>
        <v>0</v>
      </c>
      <c r="D10" s="1">
        <f>SUM(D12:D350)</f>
        <v>-3237430.769999998</v>
      </c>
      <c r="E10" s="79">
        <f>SUM(E12:E350)</f>
        <v>0</v>
      </c>
      <c r="F10" s="15"/>
      <c r="G10" s="30">
        <f>SUM(G12:G350)</f>
        <v>4207887.300000001</v>
      </c>
      <c r="H10" s="30">
        <f>SUM(H12:H350)</f>
        <v>961477.4900000001</v>
      </c>
      <c r="I10" s="31"/>
      <c r="J10" s="32">
        <f>SUM(J12:J350)</f>
        <v>48369.58</v>
      </c>
      <c r="K10" s="32">
        <f>SUM(K12:K350)</f>
        <v>39390.54000000001</v>
      </c>
      <c r="L10" s="32">
        <f>SUM(L12:L350)</f>
        <v>25982.659999999993</v>
      </c>
      <c r="M10" s="32">
        <f>SUM(M12:M350)</f>
        <v>17519.9</v>
      </c>
      <c r="N10" s="46">
        <f>M10-L10-K10+J10</f>
        <v>516.2799999999988</v>
      </c>
      <c r="O10" s="5"/>
      <c r="P10" s="5"/>
      <c r="R10" s="149">
        <f>SUM(R12:R350)</f>
        <v>0</v>
      </c>
      <c r="S10" s="149">
        <f>SUM(S12:S350)</f>
        <v>-8979.040000000447</v>
      </c>
      <c r="T10" s="149">
        <f>SUM(T12:T350)</f>
        <v>8979.040000000003</v>
      </c>
      <c r="U10" s="149">
        <f>SUM(U12:U350)</f>
        <v>8462.760000000004</v>
      </c>
      <c r="V10" s="5"/>
      <c r="W10" s="5"/>
      <c r="X10" s="5"/>
      <c r="Y10" s="5"/>
      <c r="Z10" s="5"/>
      <c r="AA10" s="5"/>
      <c r="AB10" s="5"/>
      <c r="AC10" s="5"/>
      <c r="AD10" s="5"/>
      <c r="AE10" s="5"/>
      <c r="AF10" s="5"/>
      <c r="AG10" s="5"/>
      <c r="AH10" s="5"/>
      <c r="AI10" s="5"/>
      <c r="AJ10" s="5"/>
      <c r="AK10" s="5"/>
    </row>
    <row r="11" spans="1:37" ht="15" customHeight="1">
      <c r="A11" s="72"/>
      <c r="B11" s="69" t="s">
        <v>41</v>
      </c>
      <c r="C11" s="28">
        <f>SUM(C19,C20,C27,C25)</f>
        <v>3949231</v>
      </c>
      <c r="D11" s="28">
        <f>SUM(D19,D20,D27,D25)</f>
        <v>16113.439999999999</v>
      </c>
      <c r="E11" s="80">
        <f>SUM(E19,E20,E27,E25)</f>
        <v>0</v>
      </c>
      <c r="F11" s="29">
        <f>IF(C11=0,"-",(C11-D11)/C11)</f>
        <v>0.9959198537639353</v>
      </c>
      <c r="G11" s="33"/>
      <c r="H11" s="33"/>
      <c r="I11" s="33"/>
      <c r="J11" s="34">
        <f aca="true" t="shared" si="0" ref="J11:J74">IF(D11+G11-H11&gt;0,D11+G11-H11,0)</f>
        <v>16113.439999999999</v>
      </c>
      <c r="K11" s="34">
        <f aca="true" t="shared" si="1" ref="K11:K74">IF(D11+G11-H11&lt;=0,-D11-G11+H11,0)</f>
        <v>0</v>
      </c>
      <c r="L11" s="35">
        <v>0</v>
      </c>
      <c r="M11" s="34">
        <v>0</v>
      </c>
      <c r="N11" s="48">
        <f>M11-L11-K11+J11</f>
        <v>16113.439999999999</v>
      </c>
      <c r="O11" s="5"/>
      <c r="P11" s="5"/>
      <c r="R11" s="5"/>
      <c r="S11" s="5"/>
      <c r="T11" s="5"/>
      <c r="U11" s="5"/>
      <c r="V11" s="5"/>
      <c r="W11" s="5"/>
      <c r="X11" s="5"/>
      <c r="Y11" s="5"/>
      <c r="Z11" s="5"/>
      <c r="AA11" s="5"/>
      <c r="AB11" s="5"/>
      <c r="AC11" s="5"/>
      <c r="AD11" s="5"/>
      <c r="AE11" s="5"/>
      <c r="AF11" s="5"/>
      <c r="AG11" s="5"/>
      <c r="AH11" s="5"/>
      <c r="AI11" s="5"/>
      <c r="AJ11" s="5"/>
      <c r="AK11" s="5"/>
    </row>
    <row r="12" spans="1:37" ht="15" customHeight="1">
      <c r="A12" s="186">
        <f>IF(Download!B2="","",Download!B2)</f>
        <v>101</v>
      </c>
      <c r="B12" s="70" t="str">
        <f>IF(Download!C2="","",Download!C2)</f>
        <v>Admin/Clerical Staff Costs</v>
      </c>
      <c r="C12" s="45">
        <f>Download!D2</f>
        <v>517424</v>
      </c>
      <c r="D12" s="42">
        <f>Download!H2</f>
        <v>1488.91</v>
      </c>
      <c r="E12" s="252"/>
      <c r="F12" s="29">
        <f aca="true" t="shared" si="2" ref="F12:F75">IF(C12=0,"-",(C12-D12)/C12)</f>
        <v>0.997122456631312</v>
      </c>
      <c r="G12" s="36"/>
      <c r="H12" s="36">
        <v>1488.91</v>
      </c>
      <c r="I12" s="36" t="s">
        <v>768</v>
      </c>
      <c r="J12" s="47">
        <f t="shared" si="0"/>
        <v>0</v>
      </c>
      <c r="K12" s="37">
        <f t="shared" si="1"/>
        <v>0</v>
      </c>
      <c r="L12" s="252">
        <f>IF(ISERROR(VLOOKUP(A12,'Workings Prior Month'!A:N,10,FALSE))=TRUE,0,(VLOOKUP(A12,'Workings Prior Month'!A:N,10,FALSE)))</f>
        <v>4500.97</v>
      </c>
      <c r="M12" s="43">
        <f>IF(ISERROR(VLOOKUP(A12,'Workings Prior Month'!A:N,11,FALSE))=TRUE,0,(VLOOKUP(A12,'Workings Prior Month'!A:N,11,FALSE)))</f>
        <v>0</v>
      </c>
      <c r="N12" s="49">
        <f>M12-L12-K12+J12</f>
        <v>-4500.97</v>
      </c>
      <c r="O12" s="137">
        <f>IF(ISERROR(VLOOKUP(A12,'Cross ref Tab'!A:C,3,FALSE)=TRUE),9500,VLOOKUP(A12,'Cross ref Tab'!A:C,3,FALSE))</f>
        <v>1300</v>
      </c>
      <c r="P12" s="137">
        <f>IF(A12="","",COUNTIF('Cross ref Tab'!$A$3:$A$311,A12))</f>
        <v>1</v>
      </c>
      <c r="Q12" s="182">
        <f aca="true" t="shared" si="3" ref="Q12:Q75">IF(O12=9500,+" XREF Code Required","")</f>
      </c>
      <c r="R12" s="5">
        <f aca="true" t="shared" si="4" ref="R12:R18">+C12</f>
        <v>517424</v>
      </c>
      <c r="S12" s="149">
        <f aca="true" t="shared" si="5" ref="S12:S18">+C12-J12+K12</f>
        <v>517424</v>
      </c>
      <c r="T12" s="149">
        <f aca="true" t="shared" si="6" ref="T12:T18">+R12-S12</f>
        <v>0</v>
      </c>
      <c r="U12" s="150">
        <f aca="true" t="shared" si="7" ref="U12:U18">+T12-N12</f>
        <v>4500.97</v>
      </c>
      <c r="V12" s="5" t="e">
        <f>VLOOKUP(A12,#REF!,7,FALSE)-C12</f>
        <v>#REF!</v>
      </c>
      <c r="W12" s="5" t="e">
        <f>SUMIF(#REF!,A12,#REF!)-C12</f>
        <v>#REF!</v>
      </c>
      <c r="X12" s="5"/>
      <c r="Y12" s="5"/>
      <c r="Z12" s="5"/>
      <c r="AA12" s="5"/>
      <c r="AB12" s="5"/>
      <c r="AC12" s="5"/>
      <c r="AD12" s="5"/>
      <c r="AE12" s="5"/>
      <c r="AF12" s="5"/>
      <c r="AG12" s="5"/>
      <c r="AH12" s="5"/>
      <c r="AI12" s="5"/>
      <c r="AJ12" s="5"/>
      <c r="AK12" s="5"/>
    </row>
    <row r="13" spans="1:37" ht="15" customHeight="1">
      <c r="A13" s="70">
        <f>IF(Download!B3="","",Download!B3)</f>
        <v>102</v>
      </c>
      <c r="B13" s="70" t="str">
        <f>IF(Download!C3="","",Download!C3)</f>
        <v>Catering Staff</v>
      </c>
      <c r="C13" s="45">
        <f>Download!D3</f>
        <v>0</v>
      </c>
      <c r="D13" s="42">
        <f>Download!H3</f>
        <v>0</v>
      </c>
      <c r="E13" s="252"/>
      <c r="F13" s="29" t="str">
        <f t="shared" si="2"/>
        <v>-</v>
      </c>
      <c r="G13" s="36"/>
      <c r="H13" s="36"/>
      <c r="I13" s="36"/>
      <c r="J13" s="47">
        <f t="shared" si="0"/>
        <v>0</v>
      </c>
      <c r="K13" s="37">
        <f t="shared" si="1"/>
        <v>0</v>
      </c>
      <c r="L13" s="43">
        <f>IF(ISERROR(VLOOKUP(A13,'Workings Prior Month'!A:N,10,FALSE))=TRUE,0,(VLOOKUP(A13,'Workings Prior Month'!A:N,10,FALSE)))</f>
        <v>0</v>
      </c>
      <c r="M13" s="43">
        <f>IF(ISERROR(VLOOKUP(A13,'Workings Prior Month'!A:N,11,FALSE))=TRUE,0,(VLOOKUP(A13,'Workings Prior Month'!A:N,11,FALSE)))</f>
        <v>0</v>
      </c>
      <c r="N13" s="49">
        <f aca="true" t="shared" si="8" ref="N13:N76">M13-L13-K13+J13</f>
        <v>0</v>
      </c>
      <c r="O13" s="137">
        <f>IF(ISERROR(VLOOKUP(A13,'Cross ref Tab'!A:C,3,FALSE)=TRUE),9500,VLOOKUP(A13,'Cross ref Tab'!A:C,3,FALSE))</f>
        <v>1320</v>
      </c>
      <c r="P13" s="137">
        <f>IF(A13="","",COUNTIF('Cross ref Tab'!$A$3:$A$311,A13))</f>
        <v>1</v>
      </c>
      <c r="Q13" s="182">
        <f t="shared" si="3"/>
      </c>
      <c r="R13" s="5">
        <f t="shared" si="4"/>
        <v>0</v>
      </c>
      <c r="S13" s="149">
        <f t="shared" si="5"/>
        <v>0</v>
      </c>
      <c r="T13" s="149">
        <f t="shared" si="6"/>
        <v>0</v>
      </c>
      <c r="U13" s="150">
        <f t="shared" si="7"/>
        <v>0</v>
      </c>
      <c r="V13" s="5" t="e">
        <f>VLOOKUP(A13,#REF!,7,FALSE)-C13</f>
        <v>#REF!</v>
      </c>
      <c r="W13" s="5" t="e">
        <f>SUMIF(#REF!,A13,#REF!)-C13</f>
        <v>#REF!</v>
      </c>
      <c r="X13" s="5"/>
      <c r="Y13" s="5"/>
      <c r="Z13" s="5"/>
      <c r="AA13" s="5"/>
      <c r="AB13" s="5"/>
      <c r="AC13" s="5"/>
      <c r="AD13" s="5"/>
      <c r="AE13" s="5"/>
      <c r="AF13" s="5"/>
      <c r="AG13" s="5"/>
      <c r="AH13" s="5"/>
      <c r="AI13" s="5"/>
      <c r="AJ13" s="5"/>
      <c r="AK13" s="5"/>
    </row>
    <row r="14" spans="1:37" ht="21" customHeight="1">
      <c r="A14" s="70">
        <f>IF(Download!B4="","",Download!B4)</f>
        <v>103</v>
      </c>
      <c r="B14" s="70" t="str">
        <f>IF(Download!C4="","",Download!C4)</f>
        <v>Foreign Assistant</v>
      </c>
      <c r="C14" s="45">
        <f>Download!D4</f>
        <v>0</v>
      </c>
      <c r="D14" s="42">
        <f>Download!H4</f>
        <v>0</v>
      </c>
      <c r="E14" s="252"/>
      <c r="F14" s="29" t="str">
        <f t="shared" si="2"/>
        <v>-</v>
      </c>
      <c r="G14" s="36"/>
      <c r="H14" s="36"/>
      <c r="I14" s="57"/>
      <c r="J14" s="47">
        <f t="shared" si="0"/>
        <v>0</v>
      </c>
      <c r="K14" s="37">
        <f t="shared" si="1"/>
        <v>0</v>
      </c>
      <c r="L14" s="43">
        <f>IF(ISERROR(VLOOKUP(A14,'Workings Prior Month'!A:N,10,FALSE))=TRUE,0,(VLOOKUP(A14,'Workings Prior Month'!A:N,10,FALSE)))</f>
        <v>0</v>
      </c>
      <c r="M14" s="43">
        <f>IF(ISERROR(VLOOKUP(A14,'Workings Prior Month'!A:N,11,FALSE))=TRUE,0,(VLOOKUP(A14,'Workings Prior Month'!A:N,11,FALSE)))</f>
        <v>0</v>
      </c>
      <c r="N14" s="49">
        <f t="shared" si="8"/>
        <v>0</v>
      </c>
      <c r="O14" s="137">
        <f>IF(ISERROR(VLOOKUP(A14,'Cross ref Tab'!A:C,3,FALSE)=TRUE),9500,VLOOKUP(A14,'Cross ref Tab'!A:C,3,FALSE))</f>
        <v>1220</v>
      </c>
      <c r="P14" s="137">
        <f>IF(A14="","",COUNTIF('Cross ref Tab'!$A$3:$A$311,A14))</f>
        <v>1</v>
      </c>
      <c r="Q14" s="182">
        <f t="shared" si="3"/>
      </c>
      <c r="R14" s="5">
        <f t="shared" si="4"/>
        <v>0</v>
      </c>
      <c r="S14" s="149">
        <f t="shared" si="5"/>
        <v>0</v>
      </c>
      <c r="T14" s="149">
        <f t="shared" si="6"/>
        <v>0</v>
      </c>
      <c r="U14" s="150">
        <f t="shared" si="7"/>
        <v>0</v>
      </c>
      <c r="V14" s="5" t="e">
        <f>VLOOKUP(A14,#REF!,7,FALSE)-C14</f>
        <v>#REF!</v>
      </c>
      <c r="W14" s="5" t="e">
        <f>SUMIF(#REF!,A14,#REF!)-C14</f>
        <v>#REF!</v>
      </c>
      <c r="X14" s="5"/>
      <c r="Y14" s="5"/>
      <c r="Z14" s="5"/>
      <c r="AA14" s="5"/>
      <c r="AB14" s="5"/>
      <c r="AC14" s="5"/>
      <c r="AD14" s="5"/>
      <c r="AE14" s="5"/>
      <c r="AF14" s="5"/>
      <c r="AG14" s="5"/>
      <c r="AH14" s="5"/>
      <c r="AI14" s="5"/>
      <c r="AJ14" s="5"/>
      <c r="AK14" s="5"/>
    </row>
    <row r="15" spans="1:37" ht="15" customHeight="1">
      <c r="A15" s="70">
        <f>IF(Download!B5="","",Download!B5)</f>
        <v>104</v>
      </c>
      <c r="B15" s="70" t="str">
        <f>IF(Download!C5="","",Download!C5)</f>
        <v>Vending Staff</v>
      </c>
      <c r="C15" s="45">
        <f>Download!D5</f>
        <v>0</v>
      </c>
      <c r="D15" s="42">
        <f>Download!H5</f>
        <v>0</v>
      </c>
      <c r="E15" s="252"/>
      <c r="F15" s="29" t="str">
        <f t="shared" si="2"/>
        <v>-</v>
      </c>
      <c r="G15" s="36"/>
      <c r="H15" s="36"/>
      <c r="I15" s="38"/>
      <c r="J15" s="47">
        <f t="shared" si="0"/>
        <v>0</v>
      </c>
      <c r="K15" s="37">
        <f t="shared" si="1"/>
        <v>0</v>
      </c>
      <c r="L15" s="43">
        <f>IF(ISERROR(VLOOKUP(A15,'Workings Prior Month'!A:N,10,FALSE))=TRUE,0,(VLOOKUP(A15,'Workings Prior Month'!A:N,10,FALSE)))</f>
        <v>0</v>
      </c>
      <c r="M15" s="43">
        <f>IF(ISERROR(VLOOKUP(A15,'Workings Prior Month'!A:N,11,FALSE))=TRUE,0,(VLOOKUP(A15,'Workings Prior Month'!A:N,11,FALSE)))</f>
        <v>0</v>
      </c>
      <c r="N15" s="49">
        <f t="shared" si="8"/>
        <v>0</v>
      </c>
      <c r="O15" s="137">
        <f>IF(ISERROR(VLOOKUP(A15,'Cross ref Tab'!A:C,3,FALSE)=TRUE),9500,VLOOKUP(A15,'Cross ref Tab'!A:C,3,FALSE))</f>
        <v>1320</v>
      </c>
      <c r="P15" s="137">
        <f>IF(A15="","",COUNTIF('Cross ref Tab'!$A$3:$A$311,A15))</f>
        <v>1</v>
      </c>
      <c r="Q15" s="182">
        <f t="shared" si="3"/>
      </c>
      <c r="R15" s="5">
        <f t="shared" si="4"/>
        <v>0</v>
      </c>
      <c r="S15" s="149">
        <f t="shared" si="5"/>
        <v>0</v>
      </c>
      <c r="T15" s="149">
        <f t="shared" si="6"/>
        <v>0</v>
      </c>
      <c r="U15" s="150">
        <f t="shared" si="7"/>
        <v>0</v>
      </c>
      <c r="V15" s="5" t="e">
        <f>VLOOKUP(A15,#REF!,7,FALSE)-C15</f>
        <v>#REF!</v>
      </c>
      <c r="W15" s="5" t="e">
        <f>SUMIF(#REF!,A15,#REF!)-C15</f>
        <v>#REF!</v>
      </c>
      <c r="X15" s="5"/>
      <c r="Y15" s="5"/>
      <c r="Z15" s="5"/>
      <c r="AA15" s="5"/>
      <c r="AB15" s="5"/>
      <c r="AC15" s="5"/>
      <c r="AD15" s="5"/>
      <c r="AE15" s="5"/>
      <c r="AF15" s="5"/>
      <c r="AG15" s="5"/>
      <c r="AH15" s="5"/>
      <c r="AI15" s="5"/>
      <c r="AJ15" s="5"/>
      <c r="AK15" s="5"/>
    </row>
    <row r="16" spans="1:37" ht="15" customHeight="1">
      <c r="A16" s="70">
        <f>IF(Download!B6="","",Download!B6)</f>
        <v>105</v>
      </c>
      <c r="B16" s="70" t="str">
        <f>IF(Download!C6="","",Download!C6)</f>
        <v>Premises Staff</v>
      </c>
      <c r="C16" s="45">
        <f>Download!D6</f>
        <v>147622</v>
      </c>
      <c r="D16" s="42">
        <f>Download!H6</f>
        <v>852.01</v>
      </c>
      <c r="E16" s="252"/>
      <c r="F16" s="29">
        <f t="shared" si="2"/>
        <v>0.994228434786143</v>
      </c>
      <c r="G16" s="36"/>
      <c r="H16" s="36">
        <v>1600</v>
      </c>
      <c r="I16" s="36"/>
      <c r="J16" s="47">
        <f t="shared" si="0"/>
        <v>0</v>
      </c>
      <c r="K16" s="37">
        <f t="shared" si="1"/>
        <v>747.99</v>
      </c>
      <c r="L16" s="43">
        <f>IF(ISERROR(VLOOKUP(A16,'Workings Prior Month'!A:N,10,FALSE))=TRUE,0,(VLOOKUP(A16,'Workings Prior Month'!A:N,10,FALSE)))</f>
        <v>0</v>
      </c>
      <c r="M16" s="43">
        <f>IF(ISERROR(VLOOKUP(A16,'Workings Prior Month'!A:N,11,FALSE))=TRUE,0,(VLOOKUP(A16,'Workings Prior Month'!A:N,11,FALSE)))</f>
        <v>1834.8</v>
      </c>
      <c r="N16" s="49">
        <f t="shared" si="8"/>
        <v>1086.81</v>
      </c>
      <c r="O16" s="137">
        <f>IF(ISERROR(VLOOKUP(A16,'Cross ref Tab'!A:C,3,FALSE)=TRUE),9500,VLOOKUP(A16,'Cross ref Tab'!A:C,3,FALSE))</f>
        <v>1310</v>
      </c>
      <c r="P16" s="137">
        <f>IF(A16="","",COUNTIF('Cross ref Tab'!$A$3:$A$311,A16))</f>
        <v>1</v>
      </c>
      <c r="Q16" s="182">
        <f t="shared" si="3"/>
      </c>
      <c r="R16" s="5">
        <f t="shared" si="4"/>
        <v>147622</v>
      </c>
      <c r="S16" s="149">
        <f t="shared" si="5"/>
        <v>148369.99</v>
      </c>
      <c r="T16" s="149">
        <f t="shared" si="6"/>
        <v>-747.9899999999907</v>
      </c>
      <c r="U16" s="150">
        <f t="shared" si="7"/>
        <v>-1834.7999999999906</v>
      </c>
      <c r="V16" s="5" t="e">
        <f>VLOOKUP(A16,#REF!,7,FALSE)-C16</f>
        <v>#REF!</v>
      </c>
      <c r="W16" s="5" t="e">
        <f>SUMIF(#REF!,A16,#REF!)-C16</f>
        <v>#REF!</v>
      </c>
      <c r="X16" s="5"/>
      <c r="Y16" s="5"/>
      <c r="Z16" s="5"/>
      <c r="AA16" s="5"/>
      <c r="AB16" s="5"/>
      <c r="AC16" s="5"/>
      <c r="AD16" s="5"/>
      <c r="AE16" s="5"/>
      <c r="AF16" s="5"/>
      <c r="AG16" s="5"/>
      <c r="AH16" s="5"/>
      <c r="AI16" s="5"/>
      <c r="AJ16" s="5"/>
      <c r="AK16" s="5"/>
    </row>
    <row r="17" spans="1:37" ht="15" customHeight="1">
      <c r="A17" s="70">
        <f>IF(Download!B7="","",Download!B7)</f>
        <v>106</v>
      </c>
      <c r="B17" s="70" t="str">
        <f>IF(Download!C7="","",Download!C7)</f>
        <v>Midday Supervisors</v>
      </c>
      <c r="C17" s="45">
        <f>Download!D7</f>
        <v>4140</v>
      </c>
      <c r="D17" s="42">
        <f>Download!H7</f>
        <v>76.73</v>
      </c>
      <c r="E17" s="252"/>
      <c r="F17" s="29">
        <f t="shared" si="2"/>
        <v>0.9814661835748792</v>
      </c>
      <c r="G17" s="36"/>
      <c r="H17" s="36"/>
      <c r="I17" s="36"/>
      <c r="J17" s="47">
        <f t="shared" si="0"/>
        <v>76.73</v>
      </c>
      <c r="K17" s="37">
        <f t="shared" si="1"/>
        <v>0</v>
      </c>
      <c r="L17" s="43">
        <f>IF(ISERROR(VLOOKUP(A17,'Workings Prior Month'!A:N,10,FALSE))=TRUE,0,(VLOOKUP(A17,'Workings Prior Month'!A:N,10,FALSE)))</f>
        <v>47.85</v>
      </c>
      <c r="M17" s="43">
        <f>IF(ISERROR(VLOOKUP(A17,'Workings Prior Month'!A:N,11,FALSE))=TRUE,0,(VLOOKUP(A17,'Workings Prior Month'!A:N,11,FALSE)))</f>
        <v>0</v>
      </c>
      <c r="N17" s="49">
        <f t="shared" si="8"/>
        <v>28.880000000000003</v>
      </c>
      <c r="O17" s="137">
        <f>IF(ISERROR(VLOOKUP(A17,'Cross ref Tab'!A:C,3,FALSE)=TRUE),9500,VLOOKUP(A17,'Cross ref Tab'!A:C,3,FALSE))</f>
        <v>1220</v>
      </c>
      <c r="P17" s="137">
        <f>IF(A17="","",COUNTIF('Cross ref Tab'!$A$3:$A$311,A17))</f>
        <v>1</v>
      </c>
      <c r="Q17" s="182">
        <f t="shared" si="3"/>
      </c>
      <c r="R17" s="5">
        <f t="shared" si="4"/>
        <v>4140</v>
      </c>
      <c r="S17" s="149">
        <f t="shared" si="5"/>
        <v>4063.27</v>
      </c>
      <c r="T17" s="149">
        <f t="shared" si="6"/>
        <v>76.73000000000002</v>
      </c>
      <c r="U17" s="150">
        <f t="shared" si="7"/>
        <v>47.850000000000016</v>
      </c>
      <c r="V17" s="5" t="e">
        <f>VLOOKUP(A17,#REF!,7,FALSE)-C17</f>
        <v>#REF!</v>
      </c>
      <c r="W17" s="5" t="e">
        <f>SUMIF(#REF!,A17,#REF!)-C17</f>
        <v>#REF!</v>
      </c>
      <c r="X17" s="5"/>
      <c r="Y17" s="5"/>
      <c r="Z17" s="5"/>
      <c r="AA17" s="5"/>
      <c r="AB17" s="5"/>
      <c r="AC17" s="5"/>
      <c r="AD17" s="5"/>
      <c r="AE17" s="5"/>
      <c r="AF17" s="5"/>
      <c r="AG17" s="5"/>
      <c r="AH17" s="5"/>
      <c r="AI17" s="5"/>
      <c r="AJ17" s="5"/>
      <c r="AK17" s="5"/>
    </row>
    <row r="18" spans="1:37" ht="15" customHeight="1">
      <c r="A18" s="70">
        <f>IF(Download!B8="","",Download!B8)</f>
        <v>107</v>
      </c>
      <c r="B18" s="70" t="str">
        <f>IF(Download!C8="","",Download!C8)</f>
        <v>Music Peri Teachers</v>
      </c>
      <c r="C18" s="45">
        <f>Download!D8</f>
        <v>0</v>
      </c>
      <c r="D18" s="42">
        <f>Download!H8</f>
        <v>0</v>
      </c>
      <c r="E18" s="252"/>
      <c r="F18" s="29" t="str">
        <f t="shared" si="2"/>
        <v>-</v>
      </c>
      <c r="G18" s="36"/>
      <c r="H18" s="36"/>
      <c r="I18" s="36"/>
      <c r="J18" s="47">
        <f t="shared" si="0"/>
        <v>0</v>
      </c>
      <c r="K18" s="37">
        <f t="shared" si="1"/>
        <v>0</v>
      </c>
      <c r="L18" s="43">
        <f>IF(ISERROR(VLOOKUP(A18,'Workings Prior Month'!A:N,10,FALSE))=TRUE,0,(VLOOKUP(A18,'Workings Prior Month'!A:N,10,FALSE)))</f>
        <v>0</v>
      </c>
      <c r="M18" s="43">
        <f>IF(ISERROR(VLOOKUP(A18,'Workings Prior Month'!A:N,11,FALSE))=TRUE,0,(VLOOKUP(A18,'Workings Prior Month'!A:N,11,FALSE)))</f>
        <v>0</v>
      </c>
      <c r="N18" s="49">
        <f t="shared" si="8"/>
        <v>0</v>
      </c>
      <c r="O18" s="137">
        <f>IF(ISERROR(VLOOKUP(A18,'Cross ref Tab'!A:C,3,FALSE)=TRUE),9500,VLOOKUP(A18,'Cross ref Tab'!A:C,3,FALSE))</f>
        <v>1000</v>
      </c>
      <c r="P18" s="137">
        <f>IF(A18="","",COUNTIF('Cross ref Tab'!$A$3:$A$311,A18))</f>
        <v>1</v>
      </c>
      <c r="Q18" s="182">
        <f t="shared" si="3"/>
      </c>
      <c r="R18" s="5">
        <f t="shared" si="4"/>
        <v>0</v>
      </c>
      <c r="S18" s="149">
        <f t="shared" si="5"/>
        <v>0</v>
      </c>
      <c r="T18" s="149">
        <f t="shared" si="6"/>
        <v>0</v>
      </c>
      <c r="U18" s="150">
        <f t="shared" si="7"/>
        <v>0</v>
      </c>
      <c r="V18" s="5" t="e">
        <f>VLOOKUP(A18,#REF!,7,FALSE)-C18</f>
        <v>#REF!</v>
      </c>
      <c r="W18" s="5" t="e">
        <f>SUMIF(#REF!,A18,#REF!)-C18</f>
        <v>#REF!</v>
      </c>
      <c r="X18" s="5"/>
      <c r="Y18" s="5"/>
      <c r="Z18" s="5"/>
      <c r="AA18" s="5"/>
      <c r="AB18" s="5"/>
      <c r="AC18" s="5"/>
      <c r="AD18" s="5"/>
      <c r="AE18" s="5"/>
      <c r="AF18" s="5"/>
      <c r="AG18" s="5"/>
      <c r="AH18" s="5"/>
      <c r="AI18" s="5"/>
      <c r="AJ18" s="5"/>
      <c r="AK18" s="5"/>
    </row>
    <row r="19" spans="1:37" ht="20.25" customHeight="1">
      <c r="A19" s="70">
        <f>IF(Download!B9="","",Download!B9)</f>
        <v>108</v>
      </c>
      <c r="B19" s="70" t="str">
        <f>IF(Download!C9="","",Download!C9)</f>
        <v>Teachers-Main Scale</v>
      </c>
      <c r="C19" s="45">
        <f>Download!D9</f>
        <v>3270579</v>
      </c>
      <c r="D19" s="42">
        <f>Download!H9</f>
        <v>2415.96</v>
      </c>
      <c r="E19" s="252"/>
      <c r="F19" s="29">
        <f t="shared" si="2"/>
        <v>0.9992613051083615</v>
      </c>
      <c r="G19" s="36"/>
      <c r="H19" s="36">
        <v>-12000</v>
      </c>
      <c r="I19" s="56" t="s">
        <v>774</v>
      </c>
      <c r="J19" s="47">
        <f t="shared" si="0"/>
        <v>14415.96</v>
      </c>
      <c r="K19" s="37">
        <f t="shared" si="1"/>
        <v>0</v>
      </c>
      <c r="L19" s="43">
        <f>IF(ISERROR(VLOOKUP(A19,'Workings Prior Month'!A:N,10,FALSE))=TRUE,0,(VLOOKUP(A19,'Workings Prior Month'!A:N,10,FALSE)))</f>
        <v>13133.66</v>
      </c>
      <c r="M19" s="43">
        <f>IF(ISERROR(VLOOKUP(A19,'Workings Prior Month'!A:N,11,FALSE))=TRUE,0,(VLOOKUP(A19,'Workings Prior Month'!A:N,11,FALSE)))</f>
        <v>0</v>
      </c>
      <c r="N19" s="49">
        <f t="shared" si="8"/>
        <v>1282.2999999999993</v>
      </c>
      <c r="O19" s="137">
        <f>IF(ISERROR(VLOOKUP(A19,'Cross ref Tab'!A:C,3,FALSE)=TRUE),9500,VLOOKUP(A19,'Cross ref Tab'!A:C,3,FALSE))</f>
        <v>1000</v>
      </c>
      <c r="P19" s="137">
        <f>IF(A19="","",COUNTIF('Cross ref Tab'!$A$3:$A$311,A19))</f>
        <v>1</v>
      </c>
      <c r="Q19" s="182">
        <f t="shared" si="3"/>
      </c>
      <c r="R19" s="5">
        <f>+C19</f>
        <v>3270579</v>
      </c>
      <c r="S19" s="149">
        <f>+C19-J19+K19</f>
        <v>3256163.04</v>
      </c>
      <c r="T19" s="149">
        <f>+R19-S19</f>
        <v>14415.959999999963</v>
      </c>
      <c r="U19" s="150">
        <f>+T19-N19</f>
        <v>13133.659999999963</v>
      </c>
      <c r="V19" s="5" t="e">
        <f>VLOOKUP(A19,#REF!,7,FALSE)-C19</f>
        <v>#REF!</v>
      </c>
      <c r="W19" s="5" t="e">
        <f>SUMIF(#REF!,A19,#REF!)-C19</f>
        <v>#REF!</v>
      </c>
      <c r="X19" s="5"/>
      <c r="Y19" s="5"/>
      <c r="Z19" s="5"/>
      <c r="AA19" s="5"/>
      <c r="AB19" s="5"/>
      <c r="AC19" s="5"/>
      <c r="AD19" s="5"/>
      <c r="AE19" s="5"/>
      <c r="AF19" s="5"/>
      <c r="AG19" s="5"/>
      <c r="AH19" s="5"/>
      <c r="AI19" s="5"/>
      <c r="AJ19" s="5"/>
      <c r="AK19" s="5"/>
    </row>
    <row r="20" spans="1:37" ht="22.5" customHeight="1">
      <c r="A20" s="70">
        <f>IF(Download!B10="","",Download!B10)</f>
        <v>112</v>
      </c>
      <c r="B20" s="70" t="str">
        <f>IF(Download!C10="","",Download!C10)</f>
        <v>Leadership</v>
      </c>
      <c r="C20" s="45">
        <f>Download!D10</f>
        <v>414850</v>
      </c>
      <c r="D20" s="42">
        <f>Download!H10</f>
        <v>-1852.36</v>
      </c>
      <c r="E20" s="252"/>
      <c r="F20" s="29">
        <f t="shared" si="2"/>
        <v>1.0044651319754128</v>
      </c>
      <c r="G20" s="36"/>
      <c r="H20" s="36"/>
      <c r="I20" s="57" t="s">
        <v>756</v>
      </c>
      <c r="J20" s="47">
        <f t="shared" si="0"/>
        <v>0</v>
      </c>
      <c r="K20" s="37">
        <f t="shared" si="1"/>
        <v>1852.36</v>
      </c>
      <c r="L20" s="43">
        <f>IF(ISERROR(VLOOKUP(A20,'Workings Prior Month'!A:N,10,FALSE))=TRUE,0,(VLOOKUP(A20,'Workings Prior Month'!A:N,10,FALSE)))</f>
        <v>3166.08</v>
      </c>
      <c r="M20" s="43">
        <f>IF(ISERROR(VLOOKUP(A20,'Workings Prior Month'!A:N,11,FALSE))=TRUE,0,(VLOOKUP(A20,'Workings Prior Month'!A:N,11,FALSE)))</f>
        <v>0</v>
      </c>
      <c r="N20" s="49">
        <f t="shared" si="8"/>
        <v>-5018.44</v>
      </c>
      <c r="O20" s="137">
        <f>IF(ISERROR(VLOOKUP(A20,'Cross ref Tab'!A:C,3,FALSE)=TRUE),9500,VLOOKUP(A20,'Cross ref Tab'!A:C,3,FALSE))</f>
        <v>1000</v>
      </c>
      <c r="P20" s="137">
        <f>IF(A20="","",COUNTIF('Cross ref Tab'!$A$3:$A$311,A20))</f>
        <v>1</v>
      </c>
      <c r="Q20" s="182">
        <f t="shared" si="3"/>
      </c>
      <c r="R20" s="5">
        <f aca="true" t="shared" si="9" ref="R20:R83">+C20</f>
        <v>414850</v>
      </c>
      <c r="S20" s="149">
        <f aca="true" t="shared" si="10" ref="S20:S83">+C20-J20+K20</f>
        <v>416702.36</v>
      </c>
      <c r="T20" s="149">
        <f aca="true" t="shared" si="11" ref="T20:T83">+R20-S20</f>
        <v>-1852.359999999986</v>
      </c>
      <c r="U20" s="150">
        <f aca="true" t="shared" si="12" ref="U20:U83">+T20-N20</f>
        <v>3166.0800000000136</v>
      </c>
      <c r="V20" s="5" t="e">
        <f>VLOOKUP(A20,#REF!,7,FALSE)-C20</f>
        <v>#REF!</v>
      </c>
      <c r="W20" s="5" t="e">
        <f>SUMIF(#REF!,A20,#REF!)-C20</f>
        <v>#REF!</v>
      </c>
      <c r="X20" s="5"/>
      <c r="Y20" s="5"/>
      <c r="Z20" s="5"/>
      <c r="AA20" s="5"/>
      <c r="AB20" s="5"/>
      <c r="AC20" s="5"/>
      <c r="AD20" s="5"/>
      <c r="AE20" s="5"/>
      <c r="AF20" s="5"/>
      <c r="AG20" s="5"/>
      <c r="AH20" s="5"/>
      <c r="AI20" s="5"/>
      <c r="AJ20" s="5"/>
      <c r="AK20" s="5"/>
    </row>
    <row r="21" spans="1:37" ht="15" customHeight="1">
      <c r="A21" s="70">
        <f>IF(Download!B11="","",Download!B11)</f>
        <v>113</v>
      </c>
      <c r="B21" s="70" t="str">
        <f>IF(Download!C11="","",Download!C11)</f>
        <v>Unqual Teachers</v>
      </c>
      <c r="C21" s="45">
        <f>Download!D11</f>
        <v>56100</v>
      </c>
      <c r="D21" s="42">
        <f>Download!H11</f>
        <v>7.99</v>
      </c>
      <c r="E21" s="252"/>
      <c r="F21" s="29">
        <f t="shared" si="2"/>
        <v>0.9998575757575758</v>
      </c>
      <c r="G21" s="36"/>
      <c r="H21" s="36"/>
      <c r="I21" s="36"/>
      <c r="J21" s="47">
        <f t="shared" si="0"/>
        <v>7.99</v>
      </c>
      <c r="K21" s="37">
        <f t="shared" si="1"/>
        <v>0</v>
      </c>
      <c r="L21" s="43">
        <f>IF(ISERROR(VLOOKUP(A21,'Workings Prior Month'!A:N,10,FALSE))=TRUE,0,(VLOOKUP(A21,'Workings Prior Month'!A:N,10,FALSE)))</f>
        <v>408.51</v>
      </c>
      <c r="M21" s="43">
        <f>IF(ISERROR(VLOOKUP(A21,'Workings Prior Month'!A:N,11,FALSE))=TRUE,0,(VLOOKUP(A21,'Workings Prior Month'!A:N,11,FALSE)))</f>
        <v>0</v>
      </c>
      <c r="N21" s="49">
        <f t="shared" si="8"/>
        <v>-400.52</v>
      </c>
      <c r="O21" s="137">
        <f>IF(ISERROR(VLOOKUP(A21,'Cross ref Tab'!A:C,3,FALSE)=TRUE),9500,VLOOKUP(A21,'Cross ref Tab'!A:C,3,FALSE))</f>
        <v>1000</v>
      </c>
      <c r="P21" s="137">
        <f>IF(A21="","",COUNTIF('Cross ref Tab'!$A$3:$A$311,A21))</f>
        <v>1</v>
      </c>
      <c r="Q21" s="182">
        <f t="shared" si="3"/>
      </c>
      <c r="R21" s="5">
        <f t="shared" si="9"/>
        <v>56100</v>
      </c>
      <c r="S21" s="149">
        <f t="shared" si="10"/>
        <v>56092.01</v>
      </c>
      <c r="T21" s="149">
        <f t="shared" si="11"/>
        <v>7.989999999997963</v>
      </c>
      <c r="U21" s="150">
        <f t="shared" si="12"/>
        <v>408.50999999999794</v>
      </c>
      <c r="V21" s="5" t="e">
        <f>VLOOKUP(A21,#REF!,7,FALSE)-C21</f>
        <v>#REF!</v>
      </c>
      <c r="W21" s="5" t="e">
        <f>SUMIF(#REF!,A21,#REF!)-C21</f>
        <v>#REF!</v>
      </c>
      <c r="X21" s="5"/>
      <c r="Y21" s="5"/>
      <c r="Z21" s="5"/>
      <c r="AA21" s="5"/>
      <c r="AB21" s="5"/>
      <c r="AC21" s="5"/>
      <c r="AD21" s="5"/>
      <c r="AE21" s="5"/>
      <c r="AF21" s="5"/>
      <c r="AG21" s="5"/>
      <c r="AH21" s="5"/>
      <c r="AI21" s="5"/>
      <c r="AJ21" s="5"/>
      <c r="AK21" s="5"/>
    </row>
    <row r="22" spans="1:37" ht="15" customHeight="1">
      <c r="A22" s="70">
        <f>IF(Download!B12="","",Download!B12)</f>
        <v>114</v>
      </c>
      <c r="B22" s="70" t="str">
        <f>IF(Download!C12="","",Download!C12)</f>
        <v>Cover Supervisors</v>
      </c>
      <c r="C22" s="45">
        <f>Download!D12</f>
        <v>32331</v>
      </c>
      <c r="D22" s="42">
        <f>Download!H12</f>
        <v>239.32</v>
      </c>
      <c r="E22" s="252"/>
      <c r="F22" s="29">
        <f t="shared" si="2"/>
        <v>0.9925978163372614</v>
      </c>
      <c r="G22" s="36"/>
      <c r="H22" s="36"/>
      <c r="I22" s="36"/>
      <c r="J22" s="47">
        <f t="shared" si="0"/>
        <v>239.32</v>
      </c>
      <c r="K22" s="37">
        <f t="shared" si="1"/>
        <v>0</v>
      </c>
      <c r="L22" s="43">
        <f>IF(ISERROR(VLOOKUP(A22,'Workings Prior Month'!A:N,10,FALSE))=TRUE,0,(VLOOKUP(A22,'Workings Prior Month'!A:N,10,FALSE)))</f>
        <v>238.94</v>
      </c>
      <c r="M22" s="43">
        <f>IF(ISERROR(VLOOKUP(A22,'Workings Prior Month'!A:N,11,FALSE))=TRUE,0,(VLOOKUP(A22,'Workings Prior Month'!A:N,11,FALSE)))</f>
        <v>0</v>
      </c>
      <c r="N22" s="49">
        <f t="shared" si="8"/>
        <v>0.37999999999999545</v>
      </c>
      <c r="O22" s="137">
        <f>IF(ISERROR(VLOOKUP(A22,'Cross ref Tab'!A:C,3,FALSE)=TRUE),9500,VLOOKUP(A22,'Cross ref Tab'!A:C,3,FALSE))</f>
        <v>1220</v>
      </c>
      <c r="P22" s="137">
        <f>IF(A22="","",COUNTIF('Cross ref Tab'!$A$3:$A$311,A22))</f>
        <v>1</v>
      </c>
      <c r="Q22" s="182">
        <f t="shared" si="3"/>
      </c>
      <c r="R22" s="5">
        <f t="shared" si="9"/>
        <v>32331</v>
      </c>
      <c r="S22" s="149">
        <f t="shared" si="10"/>
        <v>32091.68</v>
      </c>
      <c r="T22" s="149">
        <f t="shared" si="11"/>
        <v>239.3199999999997</v>
      </c>
      <c r="U22" s="150">
        <f t="shared" si="12"/>
        <v>238.9399999999997</v>
      </c>
      <c r="V22" s="5" t="e">
        <f>VLOOKUP(A22,#REF!,7,FALSE)-C22</f>
        <v>#REF!</v>
      </c>
      <c r="W22" s="5" t="e">
        <f>SUMIF(#REF!,A22,#REF!)-C22</f>
        <v>#REF!</v>
      </c>
      <c r="X22" s="5"/>
      <c r="Y22" s="5"/>
      <c r="Z22" s="5"/>
      <c r="AA22" s="5"/>
      <c r="AB22" s="5"/>
      <c r="AC22" s="5"/>
      <c r="AD22" s="5"/>
      <c r="AE22" s="5"/>
      <c r="AF22" s="5"/>
      <c r="AG22" s="5"/>
      <c r="AH22" s="5"/>
      <c r="AI22" s="5"/>
      <c r="AJ22" s="5"/>
      <c r="AK22" s="5"/>
    </row>
    <row r="23" spans="1:37" ht="15" customHeight="1">
      <c r="A23" s="70">
        <f>IF(Download!B13="","",Download!B13)</f>
        <v>115</v>
      </c>
      <c r="B23" s="70" t="str">
        <f>IF(Download!C13="","",Download!C13)</f>
        <v>Pastoral Staff</v>
      </c>
      <c r="C23" s="45">
        <f>Download!D13</f>
        <v>286779</v>
      </c>
      <c r="D23" s="42">
        <f>Download!H13</f>
        <v>-8952.22</v>
      </c>
      <c r="E23" s="252"/>
      <c r="F23" s="29">
        <f t="shared" si="2"/>
        <v>1.031216441929151</v>
      </c>
      <c r="G23" s="36"/>
      <c r="H23" s="36">
        <v>17000</v>
      </c>
      <c r="I23" s="323" t="s">
        <v>767</v>
      </c>
      <c r="J23" s="47">
        <f t="shared" si="0"/>
        <v>0</v>
      </c>
      <c r="K23" s="37">
        <f t="shared" si="1"/>
        <v>25952.22</v>
      </c>
      <c r="L23" s="43">
        <f>IF(ISERROR(VLOOKUP(A23,'Workings Prior Month'!A:N,10,FALSE))=TRUE,0,(VLOOKUP(A23,'Workings Prior Month'!A:N,10,FALSE)))</f>
        <v>0</v>
      </c>
      <c r="M23" s="43">
        <f>IF(ISERROR(VLOOKUP(A23,'Workings Prior Month'!A:N,11,FALSE))=TRUE,0,(VLOOKUP(A23,'Workings Prior Month'!A:N,11,FALSE)))</f>
        <v>9625.25</v>
      </c>
      <c r="N23" s="49">
        <f t="shared" si="8"/>
        <v>-16326.970000000001</v>
      </c>
      <c r="O23" s="137">
        <f>IF(ISERROR(VLOOKUP(A23,'Cross ref Tab'!A:C,3,FALSE)=TRUE),9500,VLOOKUP(A23,'Cross ref Tab'!A:C,3,FALSE))</f>
        <v>1220</v>
      </c>
      <c r="P23" s="137">
        <f>IF(A23="","",COUNTIF('Cross ref Tab'!$A$3:$A$311,A23))</f>
        <v>1</v>
      </c>
      <c r="Q23" s="182">
        <f t="shared" si="3"/>
      </c>
      <c r="R23" s="5">
        <f t="shared" si="9"/>
        <v>286779</v>
      </c>
      <c r="S23" s="149">
        <f t="shared" si="10"/>
        <v>312731.22</v>
      </c>
      <c r="T23" s="149">
        <f t="shared" si="11"/>
        <v>-25952.219999999972</v>
      </c>
      <c r="U23" s="150">
        <f t="shared" si="12"/>
        <v>-9625.24999999997</v>
      </c>
      <c r="V23" s="5" t="e">
        <f>VLOOKUP(A23,#REF!,7,FALSE)-C23</f>
        <v>#REF!</v>
      </c>
      <c r="W23" s="5" t="e">
        <f>SUMIF(#REF!,A23,#REF!)-C23</f>
        <v>#REF!</v>
      </c>
      <c r="X23" s="5"/>
      <c r="Y23" s="5"/>
      <c r="Z23" s="5"/>
      <c r="AA23" s="5"/>
      <c r="AB23" s="5"/>
      <c r="AC23" s="5"/>
      <c r="AD23" s="5"/>
      <c r="AE23" s="5"/>
      <c r="AF23" s="5"/>
      <c r="AG23" s="5"/>
      <c r="AH23" s="5"/>
      <c r="AI23" s="5"/>
      <c r="AJ23" s="5"/>
      <c r="AK23" s="5"/>
    </row>
    <row r="24" spans="1:37" ht="15" customHeight="1">
      <c r="A24" s="70">
        <f>IF(Download!B14="","",Download!B14)</f>
        <v>116</v>
      </c>
      <c r="B24" s="70" t="str">
        <f>IF(Download!C14="","",Download!C14)</f>
        <v>Dept Technicians</v>
      </c>
      <c r="C24" s="45">
        <f>Download!D14</f>
        <v>124654</v>
      </c>
      <c r="D24" s="42">
        <f>Download!H14</f>
        <v>2266.42</v>
      </c>
      <c r="E24" s="252"/>
      <c r="F24" s="29">
        <f t="shared" si="2"/>
        <v>0.9818183130906349</v>
      </c>
      <c r="G24" s="36"/>
      <c r="H24" s="36"/>
      <c r="I24" s="36"/>
      <c r="J24" s="47">
        <f t="shared" si="0"/>
        <v>2266.42</v>
      </c>
      <c r="K24" s="37">
        <f t="shared" si="1"/>
        <v>0</v>
      </c>
      <c r="L24" s="43">
        <f>IF(ISERROR(VLOOKUP(A24,'Workings Prior Month'!A:N,10,FALSE))=TRUE,0,(VLOOKUP(A24,'Workings Prior Month'!A:N,10,FALSE)))</f>
        <v>2260.9700000000003</v>
      </c>
      <c r="M24" s="43">
        <f>IF(ISERROR(VLOOKUP(A24,'Workings Prior Month'!A:N,11,FALSE))=TRUE,0,(VLOOKUP(A24,'Workings Prior Month'!A:N,11,FALSE)))</f>
        <v>0</v>
      </c>
      <c r="N24" s="49">
        <f t="shared" si="8"/>
        <v>5.449999999999818</v>
      </c>
      <c r="O24" s="137">
        <f>IF(ISERROR(VLOOKUP(A24,'Cross ref Tab'!A:C,3,FALSE)=TRUE),9500,VLOOKUP(A24,'Cross ref Tab'!A:C,3,FALSE))</f>
        <v>1230</v>
      </c>
      <c r="P24" s="137">
        <f>IF(A24="","",COUNTIF('Cross ref Tab'!$A$3:$A$311,A24))</f>
        <v>1</v>
      </c>
      <c r="Q24" s="182">
        <f t="shared" si="3"/>
      </c>
      <c r="R24" s="5">
        <f t="shared" si="9"/>
        <v>124654</v>
      </c>
      <c r="S24" s="149">
        <f t="shared" si="10"/>
        <v>122387.58</v>
      </c>
      <c r="T24" s="149">
        <f t="shared" si="11"/>
        <v>2266.4199999999983</v>
      </c>
      <c r="U24" s="150">
        <f t="shared" si="12"/>
        <v>2260.9699999999984</v>
      </c>
      <c r="V24" s="5" t="e">
        <f>VLOOKUP(A24,#REF!,7,FALSE)-C24</f>
        <v>#REF!</v>
      </c>
      <c r="W24" s="5" t="e">
        <f>SUMIF(#REF!,A24,#REF!)-C24</f>
        <v>#REF!</v>
      </c>
      <c r="X24" s="5"/>
      <c r="Y24" s="5"/>
      <c r="Z24" s="5"/>
      <c r="AA24" s="5"/>
      <c r="AB24" s="5"/>
      <c r="AC24" s="5"/>
      <c r="AD24" s="5"/>
      <c r="AE24" s="5"/>
      <c r="AF24" s="5"/>
      <c r="AG24" s="5"/>
      <c r="AH24" s="5"/>
      <c r="AI24" s="5"/>
      <c r="AJ24" s="5"/>
      <c r="AK24" s="5"/>
    </row>
    <row r="25" spans="1:37" ht="15" customHeight="1">
      <c r="A25" s="70">
        <f>IF(Download!B15="","",Download!B15)</f>
        <v>117</v>
      </c>
      <c r="B25" s="70" t="str">
        <f>IF(Download!C15="","",Download!C15)</f>
        <v>LSA</v>
      </c>
      <c r="C25" s="45">
        <f>Download!D15</f>
        <v>173952</v>
      </c>
      <c r="D25" s="42">
        <f>Download!H15</f>
        <v>2188.96</v>
      </c>
      <c r="E25" s="252"/>
      <c r="F25" s="29">
        <f t="shared" si="2"/>
        <v>0.9874162987490802</v>
      </c>
      <c r="G25" s="36"/>
      <c r="H25" s="36"/>
      <c r="I25" s="36"/>
      <c r="J25" s="47">
        <f t="shared" si="0"/>
        <v>2188.96</v>
      </c>
      <c r="K25" s="37">
        <f t="shared" si="1"/>
        <v>0</v>
      </c>
      <c r="L25" s="43">
        <f>IF(ISERROR(VLOOKUP(A25,'Workings Prior Month'!A:N,10,FALSE))=TRUE,0,(VLOOKUP(A25,'Workings Prior Month'!A:N,10,FALSE)))</f>
        <v>469.02</v>
      </c>
      <c r="M25" s="43">
        <f>IF(ISERROR(VLOOKUP(A25,'Workings Prior Month'!A:N,11,FALSE))=TRUE,0,(VLOOKUP(A25,'Workings Prior Month'!A:N,11,FALSE)))</f>
        <v>0</v>
      </c>
      <c r="N25" s="49">
        <f>M25-L25-K25+J25</f>
        <v>1719.94</v>
      </c>
      <c r="O25" s="137">
        <f>IF(ISERROR(VLOOKUP(A25,'Cross ref Tab'!A:C,3,FALSE)=TRUE),9500,VLOOKUP(A25,'Cross ref Tab'!A:C,3,FALSE))</f>
        <v>1220</v>
      </c>
      <c r="P25" s="137">
        <f>IF(A25="","",COUNTIF('Cross ref Tab'!$A$3:$A$311,A25))</f>
        <v>1</v>
      </c>
      <c r="Q25" s="182">
        <f t="shared" si="3"/>
      </c>
      <c r="R25" s="5">
        <f t="shared" si="9"/>
        <v>173952</v>
      </c>
      <c r="S25" s="149">
        <f t="shared" si="10"/>
        <v>171763.04</v>
      </c>
      <c r="T25" s="149">
        <f t="shared" si="11"/>
        <v>2188.959999999992</v>
      </c>
      <c r="U25" s="150">
        <f t="shared" si="12"/>
        <v>469.0199999999918</v>
      </c>
      <c r="V25" s="5" t="e">
        <f>VLOOKUP(A25,#REF!,7,FALSE)-C25</f>
        <v>#REF!</v>
      </c>
      <c r="W25" s="5" t="e">
        <f>SUMIF(#REF!,A25,#REF!)-C25</f>
        <v>#REF!</v>
      </c>
      <c r="X25" s="5"/>
      <c r="Y25" s="5"/>
      <c r="Z25" s="5"/>
      <c r="AA25" s="5"/>
      <c r="AB25" s="5"/>
      <c r="AC25" s="5"/>
      <c r="AD25" s="5"/>
      <c r="AE25" s="5"/>
      <c r="AF25" s="5"/>
      <c r="AG25" s="5"/>
      <c r="AH25" s="5"/>
      <c r="AI25" s="5"/>
      <c r="AJ25" s="5"/>
      <c r="AK25" s="5"/>
    </row>
    <row r="26" spans="1:37" ht="15" customHeight="1">
      <c r="A26" s="70">
        <f>IF(Download!B16="","",Download!B16)</f>
        <v>118</v>
      </c>
      <c r="B26" s="70" t="str">
        <f>IF(Download!C16="","",Download!C16)</f>
        <v>IT Technicians</v>
      </c>
      <c r="C26" s="45">
        <f>Download!D16</f>
        <v>137517</v>
      </c>
      <c r="D26" s="42">
        <f>Download!H16</f>
        <v>1107.33</v>
      </c>
      <c r="E26" s="252"/>
      <c r="F26" s="29">
        <f t="shared" si="2"/>
        <v>0.991947686467855</v>
      </c>
      <c r="G26" s="36"/>
      <c r="H26" s="36"/>
      <c r="I26" s="36"/>
      <c r="J26" s="47">
        <f t="shared" si="0"/>
        <v>1107.33</v>
      </c>
      <c r="K26" s="37">
        <f t="shared" si="1"/>
        <v>0</v>
      </c>
      <c r="L26" s="43">
        <f>IF(ISERROR(VLOOKUP(A26,'Workings Prior Month'!A:N,10,FALSE))=TRUE,0,(VLOOKUP(A26,'Workings Prior Month'!A:N,10,FALSE)))</f>
        <v>968.94</v>
      </c>
      <c r="M26" s="43">
        <f>IF(ISERROR(VLOOKUP(A26,'Workings Prior Month'!A:N,11,FALSE))=TRUE,0,(VLOOKUP(A26,'Workings Prior Month'!A:N,11,FALSE)))</f>
        <v>0</v>
      </c>
      <c r="N26" s="49">
        <f t="shared" si="8"/>
        <v>138.38999999999987</v>
      </c>
      <c r="O26" s="137">
        <f>IF(ISERROR(VLOOKUP(A26,'Cross ref Tab'!A:C,3,FALSE)=TRUE),9500,VLOOKUP(A26,'Cross ref Tab'!A:C,3,FALSE))</f>
        <v>1230</v>
      </c>
      <c r="P26" s="137">
        <f>IF(A26="","",COUNTIF('Cross ref Tab'!$A$3:$A$311,A26))</f>
        <v>1</v>
      </c>
      <c r="Q26" s="182">
        <f t="shared" si="3"/>
      </c>
      <c r="R26" s="5">
        <f t="shared" si="9"/>
        <v>137517</v>
      </c>
      <c r="S26" s="149">
        <f t="shared" si="10"/>
        <v>136409.67</v>
      </c>
      <c r="T26" s="149">
        <f t="shared" si="11"/>
        <v>1107.3299999999872</v>
      </c>
      <c r="U26" s="150">
        <f t="shared" si="12"/>
        <v>968.9399999999873</v>
      </c>
      <c r="V26" s="5" t="e">
        <f>VLOOKUP(A26,#REF!,7,FALSE)-C26</f>
        <v>#REF!</v>
      </c>
      <c r="W26" s="5" t="e">
        <f>SUMIF(#REF!,A26,#REF!)-C26</f>
        <v>#REF!</v>
      </c>
      <c r="X26" s="5"/>
      <c r="Y26" s="5"/>
      <c r="Z26" s="5"/>
      <c r="AA26" s="5"/>
      <c r="AB26" s="5"/>
      <c r="AC26" s="5"/>
      <c r="AD26" s="5"/>
      <c r="AE26" s="5"/>
      <c r="AF26" s="5"/>
      <c r="AG26" s="5"/>
      <c r="AH26" s="5"/>
      <c r="AI26" s="5"/>
      <c r="AJ26" s="5"/>
      <c r="AK26" s="5"/>
    </row>
    <row r="27" spans="1:37" ht="15" customHeight="1">
      <c r="A27" s="70">
        <f>IF(Download!B17="","",Download!B17)</f>
        <v>120</v>
      </c>
      <c r="B27" s="70" t="str">
        <f>IF(Download!C17="","",Download!C17)</f>
        <v>Science Technicians</v>
      </c>
      <c r="C27" s="45">
        <f>Download!D17</f>
        <v>89850</v>
      </c>
      <c r="D27" s="42">
        <f>Download!H17</f>
        <v>13360.88</v>
      </c>
      <c r="E27" s="252"/>
      <c r="F27" s="29">
        <f t="shared" si="2"/>
        <v>0.8512979410127991</v>
      </c>
      <c r="G27" s="36"/>
      <c r="H27" s="36"/>
      <c r="I27" s="253"/>
      <c r="J27" s="47">
        <f t="shared" si="0"/>
        <v>13360.88</v>
      </c>
      <c r="K27" s="37">
        <f t="shared" si="1"/>
        <v>0</v>
      </c>
      <c r="L27" s="43">
        <f>IF(ISERROR(VLOOKUP(A27,'Workings Prior Month'!A:N,10,FALSE))=TRUE,0,(VLOOKUP(A27,'Workings Prior Month'!A:N,10,FALSE)))</f>
        <v>0</v>
      </c>
      <c r="M27" s="43">
        <f>IF(ISERROR(VLOOKUP(A27,'Workings Prior Month'!A:N,11,FALSE))=TRUE,0,(VLOOKUP(A27,'Workings Prior Month'!A:N,11,FALSE)))</f>
        <v>0</v>
      </c>
      <c r="N27" s="49">
        <f t="shared" si="8"/>
        <v>13360.88</v>
      </c>
      <c r="O27" s="137">
        <f>IF(ISERROR(VLOOKUP(A27,'Cross ref Tab'!A:C,3,FALSE)=TRUE),9500,VLOOKUP(A27,'Cross ref Tab'!A:C,3,FALSE))</f>
        <v>1230</v>
      </c>
      <c r="P27" s="137">
        <f>IF(A27="","",COUNTIF('Cross ref Tab'!$A$3:$A$311,A27))</f>
        <v>1</v>
      </c>
      <c r="Q27" s="182">
        <f t="shared" si="3"/>
      </c>
      <c r="R27" s="5">
        <f t="shared" si="9"/>
        <v>89850</v>
      </c>
      <c r="S27" s="149">
        <f t="shared" si="10"/>
        <v>76489.12</v>
      </c>
      <c r="T27" s="149">
        <f t="shared" si="11"/>
        <v>13360.880000000005</v>
      </c>
      <c r="U27" s="150">
        <f t="shared" si="12"/>
        <v>0</v>
      </c>
      <c r="V27" s="5" t="e">
        <f>VLOOKUP(A27,#REF!,7,FALSE)-C27</f>
        <v>#REF!</v>
      </c>
      <c r="W27" s="5" t="e">
        <f>SUMIF(#REF!,A27,#REF!)-C27</f>
        <v>#REF!</v>
      </c>
      <c r="X27" s="5"/>
      <c r="Y27" s="5"/>
      <c r="Z27" s="5"/>
      <c r="AA27" s="5"/>
      <c r="AB27" s="5"/>
      <c r="AC27" s="5"/>
      <c r="AD27" s="5"/>
      <c r="AE27" s="5"/>
      <c r="AF27" s="5"/>
      <c r="AG27" s="5"/>
      <c r="AH27" s="5"/>
      <c r="AI27" s="5"/>
      <c r="AJ27" s="5"/>
      <c r="AK27" s="5"/>
    </row>
    <row r="28" spans="1:37" ht="15" customHeight="1">
      <c r="A28" s="70">
        <f>IF(Download!B18="","",Download!B18)</f>
        <v>121</v>
      </c>
      <c r="B28" s="70" t="str">
        <f>IF(Download!C18="","",Download!C18)</f>
        <v>Library Staff</v>
      </c>
      <c r="C28" s="45">
        <f>Download!D18</f>
        <v>19652</v>
      </c>
      <c r="D28" s="42">
        <f>Download!H18</f>
        <v>-440.69</v>
      </c>
      <c r="E28" s="252"/>
      <c r="F28" s="29">
        <f t="shared" si="2"/>
        <v>1.022424689599023</v>
      </c>
      <c r="G28" s="36"/>
      <c r="H28" s="36"/>
      <c r="I28" s="36"/>
      <c r="J28" s="47">
        <f t="shared" si="0"/>
        <v>0</v>
      </c>
      <c r="K28" s="37">
        <f t="shared" si="1"/>
        <v>440.69</v>
      </c>
      <c r="L28" s="43">
        <f>IF(ISERROR(VLOOKUP(A28,'Workings Prior Month'!A:N,10,FALSE))=TRUE,0,(VLOOKUP(A28,'Workings Prior Month'!A:N,10,FALSE)))</f>
        <v>0</v>
      </c>
      <c r="M28" s="43">
        <f>IF(ISERROR(VLOOKUP(A28,'Workings Prior Month'!A:N,11,FALSE))=TRUE,0,(VLOOKUP(A28,'Workings Prior Month'!A:N,11,FALSE)))</f>
        <v>444.33</v>
      </c>
      <c r="N28" s="49">
        <f t="shared" si="8"/>
        <v>3.6399999999999864</v>
      </c>
      <c r="O28" s="137">
        <f>IF(ISERROR(VLOOKUP(A28,'Cross ref Tab'!A:C,3,FALSE)=TRUE),9500,VLOOKUP(A28,'Cross ref Tab'!A:C,3,FALSE))</f>
        <v>1220</v>
      </c>
      <c r="P28" s="137">
        <f>IF(A28="","",COUNTIF('Cross ref Tab'!$A$3:$A$311,A28))</f>
        <v>1</v>
      </c>
      <c r="Q28" s="182">
        <f t="shared" si="3"/>
      </c>
      <c r="R28" s="5">
        <f t="shared" si="9"/>
        <v>19652</v>
      </c>
      <c r="S28" s="149">
        <f t="shared" si="10"/>
        <v>20092.69</v>
      </c>
      <c r="T28" s="149">
        <f t="shared" si="11"/>
        <v>-440.6899999999987</v>
      </c>
      <c r="U28" s="150">
        <f t="shared" si="12"/>
        <v>-444.3299999999987</v>
      </c>
      <c r="V28" s="5" t="e">
        <f>VLOOKUP(A28,#REF!,7,FALSE)-C28</f>
        <v>#REF!</v>
      </c>
      <c r="W28" s="5" t="e">
        <f>SUMIF(#REF!,A28,#REF!)-C28</f>
        <v>#REF!</v>
      </c>
      <c r="X28" s="5"/>
      <c r="Y28" s="5"/>
      <c r="Z28" s="5"/>
      <c r="AA28" s="5"/>
      <c r="AB28" s="5"/>
      <c r="AC28" s="5"/>
      <c r="AD28" s="5"/>
      <c r="AE28" s="5"/>
      <c r="AF28" s="5"/>
      <c r="AG28" s="5"/>
      <c r="AH28" s="5"/>
      <c r="AI28" s="5"/>
      <c r="AJ28" s="5"/>
      <c r="AK28" s="5"/>
    </row>
    <row r="29" spans="1:37" ht="15" customHeight="1">
      <c r="A29" s="70">
        <f>IF(Download!B19="","",Download!B19)</f>
        <v>122</v>
      </c>
      <c r="B29" s="70" t="str">
        <f>IF(Download!C19="","",Download!C19)</f>
        <v>Student Services</v>
      </c>
      <c r="C29" s="45">
        <f>Download!D19</f>
        <v>32032</v>
      </c>
      <c r="D29" s="42">
        <f>Download!H19</f>
        <v>-1048.02</v>
      </c>
      <c r="E29" s="252"/>
      <c r="F29" s="29">
        <f t="shared" si="2"/>
        <v>1.032717907092907</v>
      </c>
      <c r="G29" s="36"/>
      <c r="H29" s="36"/>
      <c r="I29" s="36"/>
      <c r="J29" s="47">
        <f t="shared" si="0"/>
        <v>0</v>
      </c>
      <c r="K29" s="37">
        <f t="shared" si="1"/>
        <v>1048.02</v>
      </c>
      <c r="L29" s="43">
        <f>IF(ISERROR(VLOOKUP(A29,'Workings Prior Month'!A:N,10,FALSE))=TRUE,0,(VLOOKUP(A29,'Workings Prior Month'!A:N,10,FALSE)))</f>
        <v>0</v>
      </c>
      <c r="M29" s="43">
        <f>IF(ISERROR(VLOOKUP(A29,'Workings Prior Month'!A:N,11,FALSE))=TRUE,0,(VLOOKUP(A29,'Workings Prior Month'!A:N,11,FALSE)))</f>
        <v>1118.67</v>
      </c>
      <c r="N29" s="49">
        <f t="shared" si="8"/>
        <v>70.65000000000009</v>
      </c>
      <c r="O29" s="137">
        <f>IF(ISERROR(VLOOKUP(A29,'Cross ref Tab'!A:C,3,FALSE)=TRUE),9500,VLOOKUP(A29,'Cross ref Tab'!A:C,3,FALSE))</f>
        <v>1220</v>
      </c>
      <c r="P29" s="137">
        <f>IF(A29="","",COUNTIF('Cross ref Tab'!$A$3:$A$311,A29))</f>
        <v>1</v>
      </c>
      <c r="Q29" s="182">
        <f t="shared" si="3"/>
      </c>
      <c r="R29" s="5">
        <f t="shared" si="9"/>
        <v>32032</v>
      </c>
      <c r="S29" s="149">
        <f t="shared" si="10"/>
        <v>33080.02</v>
      </c>
      <c r="T29" s="149">
        <f t="shared" si="11"/>
        <v>-1048.0199999999968</v>
      </c>
      <c r="U29" s="150">
        <f t="shared" si="12"/>
        <v>-1118.669999999997</v>
      </c>
      <c r="V29" s="5" t="e">
        <f>VLOOKUP(A29,#REF!,7,FALSE)-C29</f>
        <v>#REF!</v>
      </c>
      <c r="W29" s="5" t="e">
        <f>SUMIF(#REF!,A29,#REF!)-C29</f>
        <v>#REF!</v>
      </c>
      <c r="X29" s="5"/>
      <c r="Y29" s="5"/>
      <c r="Z29" s="5"/>
      <c r="AA29" s="5"/>
      <c r="AB29" s="5"/>
      <c r="AC29" s="5"/>
      <c r="AD29" s="5"/>
      <c r="AE29" s="5"/>
      <c r="AF29" s="5"/>
      <c r="AG29" s="5"/>
      <c r="AH29" s="5"/>
      <c r="AI29" s="5"/>
      <c r="AJ29" s="5"/>
      <c r="AK29" s="5"/>
    </row>
    <row r="30" spans="1:37" ht="15" customHeight="1">
      <c r="A30" s="254">
        <f>IF(Download!B20="","",Download!B20)</f>
        <v>150</v>
      </c>
      <c r="B30" s="254" t="str">
        <f>IF(Download!C20="","",Download!C20)</f>
        <v>Supply Cost</v>
      </c>
      <c r="C30" s="45">
        <f>Download!D20</f>
        <v>20000</v>
      </c>
      <c r="D30" s="42">
        <f>Download!H20</f>
        <v>7303.12</v>
      </c>
      <c r="E30" s="252"/>
      <c r="F30" s="29">
        <f t="shared" si="2"/>
        <v>0.6348440000000001</v>
      </c>
      <c r="G30" s="36"/>
      <c r="H30" s="36">
        <v>4000</v>
      </c>
      <c r="I30" s="36" t="s">
        <v>771</v>
      </c>
      <c r="J30" s="47">
        <f t="shared" si="0"/>
        <v>3303.12</v>
      </c>
      <c r="K30" s="37">
        <f t="shared" si="1"/>
        <v>0</v>
      </c>
      <c r="L30" s="43">
        <f>IF(ISERROR(VLOOKUP(A30,'Workings Prior Month'!A:N,10,FALSE))=TRUE,0,(VLOOKUP(A30,'Workings Prior Month'!A:N,10,FALSE)))</f>
        <v>0</v>
      </c>
      <c r="M30" s="43">
        <f>IF(ISERROR(VLOOKUP(A30,'Workings Prior Month'!A:N,11,FALSE))=TRUE,0,(VLOOKUP(A30,'Workings Prior Month'!A:N,11,FALSE)))</f>
        <v>0</v>
      </c>
      <c r="N30" s="49">
        <f t="shared" si="8"/>
        <v>3303.12</v>
      </c>
      <c r="O30" s="137">
        <f>IF(ISERROR(VLOOKUP(A30,'Cross ref Tab'!A:C,3,FALSE)=TRUE),9500,VLOOKUP(A30,'Cross ref Tab'!A:C,3,FALSE))</f>
        <v>1200</v>
      </c>
      <c r="P30" s="137">
        <f>IF(A30="","",COUNTIF('Cross ref Tab'!$A$3:$A$311,A30))</f>
        <v>1</v>
      </c>
      <c r="Q30" s="182">
        <f t="shared" si="3"/>
      </c>
      <c r="R30" s="5">
        <f t="shared" si="9"/>
        <v>20000</v>
      </c>
      <c r="S30" s="149">
        <f t="shared" si="10"/>
        <v>16696.88</v>
      </c>
      <c r="T30" s="149">
        <f t="shared" si="11"/>
        <v>3303.119999999999</v>
      </c>
      <c r="U30" s="150">
        <f t="shared" si="12"/>
        <v>0</v>
      </c>
      <c r="V30" s="5" t="e">
        <f>VLOOKUP(A30,#REF!,7,FALSE)-C30</f>
        <v>#REF!</v>
      </c>
      <c r="W30" s="5" t="e">
        <f>SUMIF(#REF!,A30,#REF!)-C30</f>
        <v>#REF!</v>
      </c>
      <c r="X30" s="5"/>
      <c r="Y30" s="5"/>
      <c r="Z30" s="5"/>
      <c r="AA30" s="5"/>
      <c r="AB30" s="5"/>
      <c r="AC30" s="5"/>
      <c r="AD30" s="5"/>
      <c r="AE30" s="5"/>
      <c r="AF30" s="5"/>
      <c r="AG30" s="5"/>
      <c r="AH30" s="5"/>
      <c r="AI30" s="5"/>
      <c r="AJ30" s="5"/>
      <c r="AK30" s="5"/>
    </row>
    <row r="31" spans="1:37" ht="15" customHeight="1">
      <c r="A31" s="70">
        <f>IF(Download!B21="","",Download!B21)</f>
        <v>151</v>
      </c>
      <c r="B31" s="70" t="str">
        <f>IF(Download!C21="","",Download!C21)</f>
        <v>Other Staff Cost</v>
      </c>
      <c r="C31" s="45">
        <f>Download!D21</f>
        <v>4000</v>
      </c>
      <c r="D31" s="42">
        <f>Download!H21</f>
        <v>3754.84</v>
      </c>
      <c r="E31" s="252"/>
      <c r="F31" s="29">
        <f t="shared" si="2"/>
        <v>0.06128999999999996</v>
      </c>
      <c r="G31" s="36"/>
      <c r="H31" s="36">
        <v>3754.84</v>
      </c>
      <c r="I31" s="253"/>
      <c r="J31" s="47">
        <f t="shared" si="0"/>
        <v>0</v>
      </c>
      <c r="K31" s="37">
        <f t="shared" si="1"/>
        <v>0</v>
      </c>
      <c r="L31" s="43">
        <f>IF(ISERROR(VLOOKUP(A31,'Workings Prior Month'!A:N,10,FALSE))=TRUE,0,(VLOOKUP(A31,'Workings Prior Month'!A:N,10,FALSE)))</f>
        <v>0</v>
      </c>
      <c r="M31" s="43">
        <f>IF(ISERROR(VLOOKUP(A31,'Workings Prior Month'!A:N,11,FALSE))=TRUE,0,(VLOOKUP(A31,'Workings Prior Month'!A:N,11,FALSE)))</f>
        <v>0</v>
      </c>
      <c r="N31" s="49">
        <f t="shared" si="8"/>
        <v>0</v>
      </c>
      <c r="O31" s="137">
        <f>IF(ISERROR(VLOOKUP(A31,'Cross ref Tab'!A:C,3,FALSE)=TRUE),9500,VLOOKUP(A31,'Cross ref Tab'!A:C,3,FALSE))</f>
        <v>2200</v>
      </c>
      <c r="P31" s="137">
        <f>IF(A31="","",COUNTIF('Cross ref Tab'!$A$3:$A$311,A31))</f>
        <v>1</v>
      </c>
      <c r="Q31" s="182">
        <f t="shared" si="3"/>
      </c>
      <c r="R31" s="5">
        <f t="shared" si="9"/>
        <v>4000</v>
      </c>
      <c r="S31" s="149">
        <f t="shared" si="10"/>
        <v>4000</v>
      </c>
      <c r="T31" s="149">
        <f t="shared" si="11"/>
        <v>0</v>
      </c>
      <c r="U31" s="150">
        <f t="shared" si="12"/>
        <v>0</v>
      </c>
      <c r="V31" s="5" t="e">
        <f>VLOOKUP(A31,#REF!,7,FALSE)-C31</f>
        <v>#REF!</v>
      </c>
      <c r="W31" s="5" t="e">
        <f>SUMIF(#REF!,A31,#REF!)-C31</f>
        <v>#REF!</v>
      </c>
      <c r="X31" s="5"/>
      <c r="Y31" s="5"/>
      <c r="Z31" s="5"/>
      <c r="AA31" s="5"/>
      <c r="AB31" s="5"/>
      <c r="AC31" s="5"/>
      <c r="AD31" s="5"/>
      <c r="AE31" s="5"/>
      <c r="AF31" s="5"/>
      <c r="AG31" s="5"/>
      <c r="AH31" s="5"/>
      <c r="AI31" s="5"/>
      <c r="AJ31" s="5"/>
      <c r="AK31" s="5"/>
    </row>
    <row r="32" spans="1:37" ht="15" customHeight="1">
      <c r="A32" s="70">
        <f>IF(Download!B22="","",Download!B22)</f>
        <v>158</v>
      </c>
      <c r="B32" s="70" t="str">
        <f>IF(Download!C22="","",Download!C22)</f>
        <v>Pension Deficiency</v>
      </c>
      <c r="C32" s="45">
        <f>Download!D22</f>
        <v>92000</v>
      </c>
      <c r="D32" s="42">
        <f>Download!H22</f>
        <v>-2533.69</v>
      </c>
      <c r="E32" s="252"/>
      <c r="F32" s="29">
        <f t="shared" si="2"/>
        <v>1.0275401086956522</v>
      </c>
      <c r="G32" s="36"/>
      <c r="H32" s="36"/>
      <c r="I32" s="38"/>
      <c r="J32" s="47">
        <f t="shared" si="0"/>
        <v>0</v>
      </c>
      <c r="K32" s="37">
        <f t="shared" si="1"/>
        <v>2533.69</v>
      </c>
      <c r="L32" s="43">
        <f>IF(ISERROR(VLOOKUP(A32,'Workings Prior Month'!A:N,10,FALSE))=TRUE,0,(VLOOKUP(A32,'Workings Prior Month'!A:N,10,FALSE)))</f>
        <v>0</v>
      </c>
      <c r="M32" s="43">
        <f>IF(ISERROR(VLOOKUP(A32,'Workings Prior Month'!A:N,11,FALSE))=TRUE,0,(VLOOKUP(A32,'Workings Prior Month'!A:N,11,FALSE)))</f>
        <v>1198.38</v>
      </c>
      <c r="N32" s="49">
        <f t="shared" si="8"/>
        <v>-1335.31</v>
      </c>
      <c r="O32" s="137">
        <f>IF(ISERROR(VLOOKUP(A32,'Cross ref Tab'!A:C,3,FALSE)=TRUE),9500,VLOOKUP(A32,'Cross ref Tab'!A:C,3,FALSE))</f>
        <v>1240</v>
      </c>
      <c r="P32" s="137">
        <f>IF(A32="","",COUNTIF('Cross ref Tab'!$A$3:$A$311,A32))</f>
        <v>1</v>
      </c>
      <c r="Q32" s="182">
        <f t="shared" si="3"/>
      </c>
      <c r="R32" s="5">
        <f t="shared" si="9"/>
        <v>92000</v>
      </c>
      <c r="S32" s="149">
        <f t="shared" si="10"/>
        <v>94533.69</v>
      </c>
      <c r="T32" s="149">
        <f t="shared" si="11"/>
        <v>-2533.6900000000023</v>
      </c>
      <c r="U32" s="150">
        <f t="shared" si="12"/>
        <v>-1198.3800000000024</v>
      </c>
      <c r="V32" s="5" t="e">
        <f>VLOOKUP(A32,#REF!,7,FALSE)-C32</f>
        <v>#REF!</v>
      </c>
      <c r="W32" s="5" t="e">
        <f>SUMIF(#REF!,A32,#REF!)-C32</f>
        <v>#REF!</v>
      </c>
      <c r="X32" s="5"/>
      <c r="Y32" s="5"/>
      <c r="Z32" s="5"/>
      <c r="AA32" s="5"/>
      <c r="AB32" s="5"/>
      <c r="AC32" s="5"/>
      <c r="AD32" s="5"/>
      <c r="AE32" s="5"/>
      <c r="AF32" s="5"/>
      <c r="AG32" s="5"/>
      <c r="AH32" s="5"/>
      <c r="AI32" s="5"/>
      <c r="AJ32" s="5"/>
      <c r="AK32" s="5"/>
    </row>
    <row r="33" spans="1:37" ht="15" customHeight="1">
      <c r="A33" s="70">
        <f>IF(Download!B23="","",Download!B23)</f>
        <v>200</v>
      </c>
      <c r="B33" s="70" t="str">
        <f>IF(Download!C23="","",Download!C23)</f>
        <v>EFA Income</v>
      </c>
      <c r="C33" s="45">
        <f>Download!D23</f>
        <v>-6008596</v>
      </c>
      <c r="D33" s="42">
        <f>Download!H23</f>
        <v>-3514414.87</v>
      </c>
      <c r="E33" s="252"/>
      <c r="F33" s="29">
        <f t="shared" si="2"/>
        <v>0.4151021519835915</v>
      </c>
      <c r="G33" s="36">
        <v>3514414.87</v>
      </c>
      <c r="H33" s="36"/>
      <c r="I33" s="38"/>
      <c r="J33" s="47">
        <f t="shared" si="0"/>
        <v>0</v>
      </c>
      <c r="K33" s="37">
        <f t="shared" si="1"/>
        <v>0</v>
      </c>
      <c r="L33" s="43">
        <f>IF(ISERROR(VLOOKUP(A33,'Workings Prior Month'!A:N,10,FALSE))=TRUE,0,(VLOOKUP(A33,'Workings Prior Month'!A:N,10,FALSE)))</f>
        <v>0</v>
      </c>
      <c r="M33" s="43">
        <f>IF(ISERROR(VLOOKUP(A33,'Workings Prior Month'!A:N,11,FALSE))=TRUE,0,(VLOOKUP(A33,'Workings Prior Month'!A:N,11,FALSE)))</f>
        <v>0</v>
      </c>
      <c r="N33" s="49">
        <f t="shared" si="8"/>
        <v>0</v>
      </c>
      <c r="O33" s="137">
        <f>IF(ISERROR(VLOOKUP(A33,'Cross ref Tab'!A:C,3,FALSE)=TRUE),9500,VLOOKUP(A33,'Cross ref Tab'!A:C,3,FALSE))</f>
        <v>5100</v>
      </c>
      <c r="P33" s="137">
        <f>IF(A33="","",COUNTIF('Cross ref Tab'!$A$3:$A$311,A33))</f>
        <v>1</v>
      </c>
      <c r="Q33" s="182">
        <f t="shared" si="3"/>
      </c>
      <c r="R33" s="5">
        <f t="shared" si="9"/>
        <v>-6008596</v>
      </c>
      <c r="S33" s="149">
        <f t="shared" si="10"/>
        <v>-6008596</v>
      </c>
      <c r="T33" s="149">
        <f t="shared" si="11"/>
        <v>0</v>
      </c>
      <c r="U33" s="150">
        <f t="shared" si="12"/>
        <v>0</v>
      </c>
      <c r="V33" s="5" t="e">
        <f>VLOOKUP(A33,#REF!,7,FALSE)-C33</f>
        <v>#REF!</v>
      </c>
      <c r="W33" s="5" t="e">
        <f>SUMIF(#REF!,A33,#REF!)-C33</f>
        <v>#REF!</v>
      </c>
      <c r="X33" s="5"/>
      <c r="Y33" s="5"/>
      <c r="Z33" s="5"/>
      <c r="AA33" s="5"/>
      <c r="AB33" s="5"/>
      <c r="AC33" s="5"/>
      <c r="AD33" s="5"/>
      <c r="AE33" s="5"/>
      <c r="AF33" s="5"/>
      <c r="AG33" s="5"/>
      <c r="AH33" s="5"/>
      <c r="AI33" s="5"/>
      <c r="AJ33" s="5"/>
      <c r="AK33" s="5"/>
    </row>
    <row r="34" spans="1:37" ht="15" customHeight="1">
      <c r="A34" s="70">
        <f>IF(Download!B24="","",Download!B24)</f>
        <v>201</v>
      </c>
      <c r="B34" s="70" t="str">
        <f>IF(Download!C24="","",Download!C24)</f>
        <v>LEA Income</v>
      </c>
      <c r="C34" s="45">
        <f>Download!D24</f>
        <v>-313570</v>
      </c>
      <c r="D34" s="42">
        <f>Download!H24</f>
        <v>-151048</v>
      </c>
      <c r="E34" s="252"/>
      <c r="F34" s="29">
        <f t="shared" si="2"/>
        <v>0.5182957553337373</v>
      </c>
      <c r="G34" s="36">
        <v>151048</v>
      </c>
      <c r="H34" s="36"/>
      <c r="I34" s="38"/>
      <c r="J34" s="47">
        <f t="shared" si="0"/>
        <v>0</v>
      </c>
      <c r="K34" s="37">
        <f t="shared" si="1"/>
        <v>0</v>
      </c>
      <c r="L34" s="43">
        <f>IF(ISERROR(VLOOKUP(A34,'Workings Prior Month'!A:N,10,FALSE))=TRUE,0,(VLOOKUP(A34,'Workings Prior Month'!A:N,10,FALSE)))</f>
        <v>0</v>
      </c>
      <c r="M34" s="43">
        <f>IF(ISERROR(VLOOKUP(A34,'Workings Prior Month'!A:N,11,FALSE))=TRUE,0,(VLOOKUP(A34,'Workings Prior Month'!A:N,11,FALSE)))</f>
        <v>0</v>
      </c>
      <c r="N34" s="49">
        <f t="shared" si="8"/>
        <v>0</v>
      </c>
      <c r="O34" s="137">
        <f>IF(ISERROR(VLOOKUP(A34,'Cross ref Tab'!A:C,3,FALSE)=TRUE),9500,VLOOKUP(A34,'Cross ref Tab'!A:C,3,FALSE))</f>
        <v>5300</v>
      </c>
      <c r="P34" s="137">
        <f>IF(A34="","",COUNTIF('Cross ref Tab'!$A$3:$A$311,A34))</f>
        <v>1</v>
      </c>
      <c r="Q34" s="182">
        <f t="shared" si="3"/>
      </c>
      <c r="R34" s="5">
        <f t="shared" si="9"/>
        <v>-313570</v>
      </c>
      <c r="S34" s="149">
        <f t="shared" si="10"/>
        <v>-313570</v>
      </c>
      <c r="T34" s="149">
        <f t="shared" si="11"/>
        <v>0</v>
      </c>
      <c r="U34" s="150">
        <f t="shared" si="12"/>
        <v>0</v>
      </c>
      <c r="V34" s="5" t="e">
        <f>VLOOKUP(A34,#REF!,7,FALSE)-C34</f>
        <v>#REF!</v>
      </c>
      <c r="W34" s="5" t="e">
        <f>SUMIF(#REF!,A34,#REF!)-C34</f>
        <v>#REF!</v>
      </c>
      <c r="X34" s="5"/>
      <c r="Y34" s="5"/>
      <c r="Z34" s="5"/>
      <c r="AA34" s="5"/>
      <c r="AB34" s="5"/>
      <c r="AC34" s="5"/>
      <c r="AD34" s="5"/>
      <c r="AE34" s="5"/>
      <c r="AF34" s="5"/>
      <c r="AG34" s="5"/>
      <c r="AH34" s="5"/>
      <c r="AI34" s="5"/>
      <c r="AJ34" s="5"/>
      <c r="AK34" s="5"/>
    </row>
    <row r="35" spans="1:37" ht="15" customHeight="1">
      <c r="A35" s="70">
        <f>IF(Download!B25="","",Download!B25)</f>
        <v>202</v>
      </c>
      <c r="B35" s="70" t="str">
        <f>IF(Download!C25="","",Download!C25)</f>
        <v>Bwt Fwd - Restricted Fund</v>
      </c>
      <c r="C35" s="45">
        <f>Download!D25</f>
        <v>-188883</v>
      </c>
      <c r="D35" s="42">
        <f>Download!H25</f>
        <v>-188883</v>
      </c>
      <c r="E35" s="252"/>
      <c r="F35" s="29">
        <f t="shared" si="2"/>
        <v>0</v>
      </c>
      <c r="G35" s="36">
        <v>188883</v>
      </c>
      <c r="H35" s="36"/>
      <c r="I35" s="257"/>
      <c r="J35" s="47">
        <f t="shared" si="0"/>
        <v>0</v>
      </c>
      <c r="K35" s="37">
        <f t="shared" si="1"/>
        <v>0</v>
      </c>
      <c r="L35" s="43">
        <f>IF(ISERROR(VLOOKUP(A35,'Workings Prior Month'!A:N,10,FALSE))=TRUE,0,(VLOOKUP(A35,'Workings Prior Month'!A:N,10,FALSE)))</f>
        <v>0</v>
      </c>
      <c r="M35" s="43">
        <f>IF(ISERROR(VLOOKUP(A35,'Workings Prior Month'!A:N,11,FALSE))=TRUE,0,(VLOOKUP(A35,'Workings Prior Month'!A:N,11,FALSE)))</f>
        <v>0</v>
      </c>
      <c r="N35" s="49">
        <f t="shared" si="8"/>
        <v>0</v>
      </c>
      <c r="O35" s="137">
        <f>IF(ISERROR(VLOOKUP(A35,'Cross ref Tab'!A:C,3,FALSE)=TRUE),9500,VLOOKUP(A35,'Cross ref Tab'!A:C,3,FALSE))</f>
        <v>5200</v>
      </c>
      <c r="P35" s="137">
        <f>IF(A35="","",COUNTIF('Cross ref Tab'!$A$3:$A$311,A35))</f>
        <v>1</v>
      </c>
      <c r="Q35" s="182">
        <f t="shared" si="3"/>
      </c>
      <c r="R35" s="5">
        <f t="shared" si="9"/>
        <v>-188883</v>
      </c>
      <c r="S35" s="149">
        <f t="shared" si="10"/>
        <v>-188883</v>
      </c>
      <c r="T35" s="149">
        <f t="shared" si="11"/>
        <v>0</v>
      </c>
      <c r="U35" s="150">
        <f t="shared" si="12"/>
        <v>0</v>
      </c>
      <c r="V35" s="5" t="e">
        <f>VLOOKUP(A35,#REF!,7,FALSE)-C35</f>
        <v>#REF!</v>
      </c>
      <c r="W35" s="5" t="e">
        <f>SUMIF(#REF!,A35,#REF!)-C35</f>
        <v>#REF!</v>
      </c>
      <c r="X35" s="5"/>
      <c r="Y35" s="5"/>
      <c r="Z35" s="5"/>
      <c r="AA35" s="5"/>
      <c r="AB35" s="5"/>
      <c r="AC35" s="5"/>
      <c r="AD35" s="5"/>
      <c r="AE35" s="5"/>
      <c r="AF35" s="5"/>
      <c r="AG35" s="5"/>
      <c r="AH35" s="5"/>
      <c r="AI35" s="5"/>
      <c r="AJ35" s="5"/>
      <c r="AK35" s="5"/>
    </row>
    <row r="36" spans="1:37" ht="15" customHeight="1">
      <c r="A36" s="70">
        <f>IF(Download!B26="","",Download!B26)</f>
        <v>203</v>
      </c>
      <c r="B36" s="70" t="str">
        <f>IF(Download!C26="","",Download!C26)</f>
        <v>Bwt Fwd - Unrestricted</v>
      </c>
      <c r="C36" s="45">
        <f>Download!D26</f>
        <v>-142534</v>
      </c>
      <c r="D36" s="42">
        <f>Download!H26</f>
        <v>-142534</v>
      </c>
      <c r="E36" s="252"/>
      <c r="F36" s="29">
        <f t="shared" si="2"/>
        <v>0</v>
      </c>
      <c r="G36" s="36">
        <v>142534</v>
      </c>
      <c r="H36" s="36"/>
      <c r="I36" s="257"/>
      <c r="J36" s="47">
        <f t="shared" si="0"/>
        <v>0</v>
      </c>
      <c r="K36" s="37">
        <f t="shared" si="1"/>
        <v>0</v>
      </c>
      <c r="L36" s="43">
        <f>IF(ISERROR(VLOOKUP(A36,'Workings Prior Month'!A:N,10,FALSE))=TRUE,0,(VLOOKUP(A36,'Workings Prior Month'!A:N,10,FALSE)))</f>
        <v>0</v>
      </c>
      <c r="M36" s="43">
        <f>IF(ISERROR(VLOOKUP(A36,'Workings Prior Month'!A:N,11,FALSE))=TRUE,0,(VLOOKUP(A36,'Workings Prior Month'!A:N,11,FALSE)))</f>
        <v>0</v>
      </c>
      <c r="N36" s="49">
        <f t="shared" si="8"/>
        <v>0</v>
      </c>
      <c r="O36" s="137">
        <f>IF(ISERROR(VLOOKUP(A36,'Cross ref Tab'!A:C,3,FALSE)=TRUE),9500,VLOOKUP(A36,'Cross ref Tab'!A:C,3,FALSE))</f>
        <v>5200</v>
      </c>
      <c r="P36" s="137">
        <f>IF(A36="","",COUNTIF('Cross ref Tab'!$A$3:$A$311,A36))</f>
        <v>1</v>
      </c>
      <c r="Q36" s="182">
        <f t="shared" si="3"/>
      </c>
      <c r="R36" s="5">
        <f t="shared" si="9"/>
        <v>-142534</v>
      </c>
      <c r="S36" s="149">
        <f t="shared" si="10"/>
        <v>-142534</v>
      </c>
      <c r="T36" s="149">
        <f t="shared" si="11"/>
        <v>0</v>
      </c>
      <c r="U36" s="150">
        <f t="shared" si="12"/>
        <v>0</v>
      </c>
      <c r="V36" s="5" t="e">
        <f>VLOOKUP(A36,#REF!,7,FALSE)-C36</f>
        <v>#REF!</v>
      </c>
      <c r="W36" s="5" t="e">
        <f>SUMIF(#REF!,A36,#REF!)-C36</f>
        <v>#REF!</v>
      </c>
      <c r="X36" s="5"/>
      <c r="Y36" s="5"/>
      <c r="Z36" s="5"/>
      <c r="AA36" s="5"/>
      <c r="AB36" s="5"/>
      <c r="AC36" s="5"/>
      <c r="AD36" s="5"/>
      <c r="AE36" s="5"/>
      <c r="AF36" s="5"/>
      <c r="AG36" s="5"/>
      <c r="AH36" s="5"/>
      <c r="AI36" s="5"/>
      <c r="AJ36" s="5"/>
      <c r="AK36" s="5"/>
    </row>
    <row r="37" spans="1:37" ht="15" customHeight="1">
      <c r="A37" s="70">
        <f>IF(Download!B27="","",Download!B27)</f>
        <v>217</v>
      </c>
      <c r="B37" s="70" t="str">
        <f>IF(Download!C27="","",Download!C27)</f>
        <v>Donations Income</v>
      </c>
      <c r="C37" s="45">
        <f>Download!D27</f>
        <v>0</v>
      </c>
      <c r="D37" s="42">
        <f>Download!H27</f>
        <v>660</v>
      </c>
      <c r="E37" s="252"/>
      <c r="F37" s="29" t="str">
        <f t="shared" si="2"/>
        <v>-</v>
      </c>
      <c r="G37" s="36"/>
      <c r="H37" s="36"/>
      <c r="I37" s="38"/>
      <c r="J37" s="47">
        <f t="shared" si="0"/>
        <v>660</v>
      </c>
      <c r="K37" s="37">
        <f t="shared" si="1"/>
        <v>0</v>
      </c>
      <c r="L37" s="43">
        <f>IF(ISERROR(VLOOKUP(A37,'Workings Prior Month'!A:N,10,FALSE))=TRUE,0,(VLOOKUP(A37,'Workings Prior Month'!A:N,10,FALSE)))</f>
        <v>0</v>
      </c>
      <c r="M37" s="43">
        <f>IF(ISERROR(VLOOKUP(A37,'Workings Prior Month'!A:N,11,FALSE))=TRUE,0,(VLOOKUP(A37,'Workings Prior Month'!A:N,11,FALSE)))</f>
        <v>0</v>
      </c>
      <c r="N37" s="49">
        <f t="shared" si="8"/>
        <v>660</v>
      </c>
      <c r="O37" s="137">
        <f>IF(ISERROR(VLOOKUP(A37,'Cross ref Tab'!A:C,3,FALSE)=TRUE),9500,VLOOKUP(A37,'Cross ref Tab'!A:C,3,FALSE))</f>
        <v>5300</v>
      </c>
      <c r="P37" s="137">
        <f>IF(A37="","",COUNTIF('Cross ref Tab'!$A$3:$A$311,A37))</f>
        <v>1</v>
      </c>
      <c r="Q37" s="182">
        <f t="shared" si="3"/>
      </c>
      <c r="R37" s="5">
        <f t="shared" si="9"/>
        <v>0</v>
      </c>
      <c r="S37" s="149">
        <f t="shared" si="10"/>
        <v>-660</v>
      </c>
      <c r="T37" s="149">
        <f t="shared" si="11"/>
        <v>660</v>
      </c>
      <c r="U37" s="150">
        <f t="shared" si="12"/>
        <v>0</v>
      </c>
      <c r="V37" s="5" t="e">
        <f>VLOOKUP(A37,#REF!,7,FALSE)-C37</f>
        <v>#REF!</v>
      </c>
      <c r="W37" s="5" t="e">
        <f>SUMIF(#REF!,A37,#REF!)-C37</f>
        <v>#REF!</v>
      </c>
      <c r="X37" s="5"/>
      <c r="Y37" s="5"/>
      <c r="Z37" s="5"/>
      <c r="AA37" s="5"/>
      <c r="AB37" s="5"/>
      <c r="AC37" s="5"/>
      <c r="AD37" s="5"/>
      <c r="AE37" s="5"/>
      <c r="AF37" s="5"/>
      <c r="AG37" s="5"/>
      <c r="AH37" s="5"/>
      <c r="AI37" s="5"/>
      <c r="AJ37" s="5"/>
      <c r="AK37" s="5"/>
    </row>
    <row r="38" spans="1:37" ht="15" customHeight="1">
      <c r="A38" s="70">
        <f>IF(Download!B28="","",Download!B28)</f>
        <v>250</v>
      </c>
      <c r="B38" s="70" t="str">
        <f>IF(Download!C28="","",Download!C28)</f>
        <v>S106 Income</v>
      </c>
      <c r="C38" s="45">
        <f>Download!D28</f>
        <v>0</v>
      </c>
      <c r="D38" s="42">
        <f>Download!H28</f>
        <v>0</v>
      </c>
      <c r="E38" s="252"/>
      <c r="F38" s="29" t="str">
        <f t="shared" si="2"/>
        <v>-</v>
      </c>
      <c r="G38" s="36"/>
      <c r="H38" s="36"/>
      <c r="I38" s="38"/>
      <c r="J38" s="47">
        <f t="shared" si="0"/>
        <v>0</v>
      </c>
      <c r="K38" s="37">
        <f t="shared" si="1"/>
        <v>0</v>
      </c>
      <c r="L38" s="43">
        <f>IF(ISERROR(VLOOKUP(A38,'Workings Prior Month'!A:N,10,FALSE))=TRUE,0,(VLOOKUP(A38,'Workings Prior Month'!A:N,10,FALSE)))</f>
        <v>0</v>
      </c>
      <c r="M38" s="43">
        <f>IF(ISERROR(VLOOKUP(A38,'Workings Prior Month'!A:N,11,FALSE))=TRUE,0,(VLOOKUP(A38,'Workings Prior Month'!A:N,11,FALSE)))</f>
        <v>0</v>
      </c>
      <c r="N38" s="49">
        <f t="shared" si="8"/>
        <v>0</v>
      </c>
      <c r="O38" s="137">
        <f>IF(ISERROR(VLOOKUP(A38,'Cross ref Tab'!A:C,3,FALSE)=TRUE),9500,VLOOKUP(A38,'Cross ref Tab'!A:C,3,FALSE))</f>
        <v>6200</v>
      </c>
      <c r="P38" s="137">
        <f>IF(A38="","",COUNTIF('Cross ref Tab'!$A$3:$A$311,A38))</f>
        <v>1</v>
      </c>
      <c r="Q38" s="182">
        <f t="shared" si="3"/>
      </c>
      <c r="R38" s="5">
        <f t="shared" si="9"/>
        <v>0</v>
      </c>
      <c r="S38" s="149">
        <f t="shared" si="10"/>
        <v>0</v>
      </c>
      <c r="T38" s="149">
        <f t="shared" si="11"/>
        <v>0</v>
      </c>
      <c r="U38" s="150">
        <f t="shared" si="12"/>
        <v>0</v>
      </c>
      <c r="V38" s="5" t="e">
        <f>VLOOKUP(A38,#REF!,7,FALSE)-C38</f>
        <v>#REF!</v>
      </c>
      <c r="W38" s="5" t="e">
        <f>SUMIF(#REF!,A38,#REF!)-C38</f>
        <v>#REF!</v>
      </c>
      <c r="X38" s="5"/>
      <c r="Y38" s="5"/>
      <c r="Z38" s="5"/>
      <c r="AA38" s="5"/>
      <c r="AB38" s="5"/>
      <c r="AC38" s="5"/>
      <c r="AD38" s="5"/>
      <c r="AE38" s="5"/>
      <c r="AF38" s="5"/>
      <c r="AG38" s="5"/>
      <c r="AH38" s="5"/>
      <c r="AI38" s="5"/>
      <c r="AJ38" s="5"/>
      <c r="AK38" s="5"/>
    </row>
    <row r="39" spans="1:37" ht="15" customHeight="1">
      <c r="A39" s="70">
        <f>IF(Download!B29="","",Download!B29)</f>
        <v>251</v>
      </c>
      <c r="B39" s="70" t="str">
        <f>IF(Download!C29="","",Download!C29)</f>
        <v>EFA Capital Maint-Roofing-Inc</v>
      </c>
      <c r="C39" s="45">
        <f>Download!D29</f>
        <v>0</v>
      </c>
      <c r="D39" s="42">
        <f>Download!H29</f>
        <v>0</v>
      </c>
      <c r="E39" s="252"/>
      <c r="F39" s="29" t="str">
        <f t="shared" si="2"/>
        <v>-</v>
      </c>
      <c r="G39" s="36"/>
      <c r="H39" s="36"/>
      <c r="I39" s="38"/>
      <c r="J39" s="47">
        <f t="shared" si="0"/>
        <v>0</v>
      </c>
      <c r="K39" s="37">
        <f t="shared" si="1"/>
        <v>0</v>
      </c>
      <c r="L39" s="43">
        <f>IF(ISERROR(VLOOKUP(A39,'Workings Prior Month'!A:N,10,FALSE))=TRUE,0,(VLOOKUP(A39,'Workings Prior Month'!A:N,10,FALSE)))</f>
        <v>0</v>
      </c>
      <c r="M39" s="43">
        <f>IF(ISERROR(VLOOKUP(A39,'Workings Prior Month'!A:N,11,FALSE))=TRUE,0,(VLOOKUP(A39,'Workings Prior Month'!A:N,11,FALSE)))</f>
        <v>0</v>
      </c>
      <c r="N39" s="49">
        <f t="shared" si="8"/>
        <v>0</v>
      </c>
      <c r="O39" s="137">
        <f>IF(ISERROR(VLOOKUP(A39,'Cross ref Tab'!A:C,3,FALSE)=TRUE),9500,VLOOKUP(A39,'Cross ref Tab'!A:C,3,FALSE))</f>
        <v>6200</v>
      </c>
      <c r="P39" s="137">
        <f>IF(A39="","",COUNTIF('Cross ref Tab'!$A$3:$A$311,A39))</f>
        <v>1</v>
      </c>
      <c r="Q39" s="182">
        <f t="shared" si="3"/>
      </c>
      <c r="R39" s="5">
        <f t="shared" si="9"/>
        <v>0</v>
      </c>
      <c r="S39" s="149">
        <f t="shared" si="10"/>
        <v>0</v>
      </c>
      <c r="T39" s="149">
        <f t="shared" si="11"/>
        <v>0</v>
      </c>
      <c r="U39" s="150">
        <f t="shared" si="12"/>
        <v>0</v>
      </c>
      <c r="V39" s="5" t="e">
        <f>VLOOKUP(A39,#REF!,7,FALSE)-C39</f>
        <v>#REF!</v>
      </c>
      <c r="W39" s="5" t="e">
        <f>SUMIF(#REF!,A39,#REF!)-C39</f>
        <v>#REF!</v>
      </c>
      <c r="X39" s="5"/>
      <c r="Y39" s="5"/>
      <c r="Z39" s="5"/>
      <c r="AA39" s="5"/>
      <c r="AB39" s="5"/>
      <c r="AC39" s="5"/>
      <c r="AD39" s="5"/>
      <c r="AE39" s="5"/>
      <c r="AF39" s="5"/>
      <c r="AG39" s="5"/>
      <c r="AH39" s="5"/>
      <c r="AI39" s="5"/>
      <c r="AJ39" s="5"/>
      <c r="AK39" s="5"/>
    </row>
    <row r="40" spans="1:37" ht="15" customHeight="1">
      <c r="A40" s="70">
        <f>IF(Download!B30="","",Download!B30)</f>
        <v>254</v>
      </c>
      <c r="B40" s="70" t="str">
        <f>IF(Download!C30="","",Download!C30)</f>
        <v>EFA Capital Windows 2015 Income</v>
      </c>
      <c r="C40" s="45">
        <f>Download!D30</f>
        <v>-789570</v>
      </c>
      <c r="D40" s="42">
        <f>Download!H30</f>
        <v>-39479</v>
      </c>
      <c r="E40" s="252"/>
      <c r="F40" s="29">
        <f t="shared" si="2"/>
        <v>0.9499993667439239</v>
      </c>
      <c r="G40" s="36">
        <v>39479</v>
      </c>
      <c r="H40" s="36"/>
      <c r="I40" s="38"/>
      <c r="J40" s="47">
        <f t="shared" si="0"/>
        <v>0</v>
      </c>
      <c r="K40" s="37">
        <f t="shared" si="1"/>
        <v>0</v>
      </c>
      <c r="L40" s="43">
        <f>IF(ISERROR(VLOOKUP(A40,'Workings Prior Month'!A:N,10,FALSE))=TRUE,0,(VLOOKUP(A40,'Workings Prior Month'!A:N,10,FALSE)))</f>
        <v>0</v>
      </c>
      <c r="M40" s="43">
        <f>IF(ISERROR(VLOOKUP(A40,'Workings Prior Month'!A:N,11,FALSE))=TRUE,0,(VLOOKUP(A40,'Workings Prior Month'!A:N,11,FALSE)))</f>
        <v>0</v>
      </c>
      <c r="N40" s="49">
        <f t="shared" si="8"/>
        <v>0</v>
      </c>
      <c r="O40" s="137">
        <f>IF(ISERROR(VLOOKUP(A40,'Cross ref Tab'!A:C,3,FALSE)=TRUE),9500,VLOOKUP(A40,'Cross ref Tab'!A:C,3,FALSE))</f>
        <v>6200</v>
      </c>
      <c r="P40" s="137">
        <f>IF(A40="","",COUNTIF('Cross ref Tab'!$A$3:$A$311,A40))</f>
        <v>1</v>
      </c>
      <c r="Q40" s="182">
        <f t="shared" si="3"/>
      </c>
      <c r="R40" s="5">
        <f t="shared" si="9"/>
        <v>-789570</v>
      </c>
      <c r="S40" s="149">
        <f t="shared" si="10"/>
        <v>-789570</v>
      </c>
      <c r="T40" s="149">
        <f t="shared" si="11"/>
        <v>0</v>
      </c>
      <c r="U40" s="150">
        <f t="shared" si="12"/>
        <v>0</v>
      </c>
      <c r="V40" s="5" t="e">
        <f>VLOOKUP(A40,#REF!,7,FALSE)-C40</f>
        <v>#REF!</v>
      </c>
      <c r="W40" s="5" t="e">
        <f>SUMIF(#REF!,A40,#REF!)-C40</f>
        <v>#REF!</v>
      </c>
      <c r="X40" s="5"/>
      <c r="Y40" s="5"/>
      <c r="Z40" s="5"/>
      <c r="AA40" s="5"/>
      <c r="AB40" s="5"/>
      <c r="AC40" s="5"/>
      <c r="AD40" s="5"/>
      <c r="AE40" s="5"/>
      <c r="AF40" s="5"/>
      <c r="AG40" s="5"/>
      <c r="AH40" s="5"/>
      <c r="AI40" s="5"/>
      <c r="AJ40" s="5"/>
      <c r="AK40" s="5"/>
    </row>
    <row r="41" spans="1:37" ht="15" customHeight="1">
      <c r="A41" s="70">
        <f>IF(Download!B31="","",Download!B31)</f>
        <v>256</v>
      </c>
      <c r="B41" s="70" t="str">
        <f>IF(Download!C31="","",Download!C31)</f>
        <v>EFA Capital Maint Pipes 2014-Inc</v>
      </c>
      <c r="C41" s="45">
        <f>Download!D31</f>
        <v>0</v>
      </c>
      <c r="D41" s="42">
        <f>Download!H31</f>
        <v>0</v>
      </c>
      <c r="E41" s="252"/>
      <c r="F41" s="29" t="str">
        <f t="shared" si="2"/>
        <v>-</v>
      </c>
      <c r="G41" s="36"/>
      <c r="H41" s="36"/>
      <c r="I41" s="253"/>
      <c r="J41" s="47">
        <f t="shared" si="0"/>
        <v>0</v>
      </c>
      <c r="K41" s="37">
        <f t="shared" si="1"/>
        <v>0</v>
      </c>
      <c r="L41" s="43">
        <f>IF(ISERROR(VLOOKUP(A41,'Workings Prior Month'!A:N,10,FALSE))=TRUE,0,(VLOOKUP(A41,'Workings Prior Month'!A:N,10,FALSE)))</f>
        <v>0</v>
      </c>
      <c r="M41" s="43">
        <f>IF(ISERROR(VLOOKUP(A41,'Workings Prior Month'!A:N,11,FALSE))=TRUE,0,(VLOOKUP(A41,'Workings Prior Month'!A:N,11,FALSE)))</f>
        <v>0</v>
      </c>
      <c r="N41" s="49">
        <f t="shared" si="8"/>
        <v>0</v>
      </c>
      <c r="O41" s="137">
        <f>IF(ISERROR(VLOOKUP(A41,'Cross ref Tab'!A:C,3,FALSE)=TRUE),9500,VLOOKUP(A41,'Cross ref Tab'!A:C,3,FALSE))</f>
        <v>6200</v>
      </c>
      <c r="P41" s="137">
        <f>IF(A41="","",COUNTIF('Cross ref Tab'!$A$3:$A$311,A41))</f>
        <v>1</v>
      </c>
      <c r="Q41" s="182">
        <f t="shared" si="3"/>
      </c>
      <c r="R41" s="5">
        <f t="shared" si="9"/>
        <v>0</v>
      </c>
      <c r="S41" s="149">
        <f t="shared" si="10"/>
        <v>0</v>
      </c>
      <c r="T41" s="149">
        <f t="shared" si="11"/>
        <v>0</v>
      </c>
      <c r="U41" s="150">
        <f t="shared" si="12"/>
        <v>0</v>
      </c>
      <c r="V41" s="5" t="e">
        <f>VLOOKUP(A41,#REF!,7,FALSE)-C41</f>
        <v>#REF!</v>
      </c>
      <c r="W41" s="5" t="e">
        <f>SUMIF(#REF!,A41,#REF!)-C41</f>
        <v>#REF!</v>
      </c>
      <c r="X41" s="5"/>
      <c r="Y41" s="5"/>
      <c r="Z41" s="5"/>
      <c r="AA41" s="5"/>
      <c r="AB41" s="5"/>
      <c r="AC41" s="5"/>
      <c r="AD41" s="5"/>
      <c r="AE41" s="5"/>
      <c r="AF41" s="5"/>
      <c r="AG41" s="5"/>
      <c r="AH41" s="5"/>
      <c r="AI41" s="5"/>
      <c r="AJ41" s="5"/>
      <c r="AK41" s="5"/>
    </row>
    <row r="42" spans="1:37" ht="15" customHeight="1">
      <c r="A42" s="70">
        <f>IF(Download!B32="","",Download!B32)</f>
        <v>299</v>
      </c>
      <c r="B42" s="70" t="str">
        <f>IF(Download!C32="","",Download!C32)</f>
        <v>Contingency - Unrestricted</v>
      </c>
      <c r="C42" s="45">
        <f>Download!D32</f>
        <v>0</v>
      </c>
      <c r="D42" s="42">
        <f>Download!H32</f>
        <v>0</v>
      </c>
      <c r="E42" s="252"/>
      <c r="F42" s="29" t="str">
        <f t="shared" si="2"/>
        <v>-</v>
      </c>
      <c r="G42" s="36"/>
      <c r="H42" s="36"/>
      <c r="I42" s="36"/>
      <c r="J42" s="47">
        <f t="shared" si="0"/>
        <v>0</v>
      </c>
      <c r="K42" s="37">
        <f t="shared" si="1"/>
        <v>0</v>
      </c>
      <c r="L42" s="43">
        <f>IF(ISERROR(VLOOKUP(A42,'Workings Prior Month'!A:N,10,FALSE))=TRUE,0,(VLOOKUP(A42,'Workings Prior Month'!A:N,10,FALSE)))</f>
        <v>0</v>
      </c>
      <c r="M42" s="43">
        <f>IF(ISERROR(VLOOKUP(A42,'Workings Prior Month'!A:N,11,FALSE))=TRUE,0,(VLOOKUP(A42,'Workings Prior Month'!A:N,11,FALSE)))</f>
        <v>0</v>
      </c>
      <c r="N42" s="49">
        <f t="shared" si="8"/>
        <v>0</v>
      </c>
      <c r="O42" s="137">
        <f>IF(ISERROR(VLOOKUP(A42,'Cross ref Tab'!A:C,3,FALSE)=TRUE),9500,VLOOKUP(A42,'Cross ref Tab'!A:C,3,FALSE))</f>
        <v>3200</v>
      </c>
      <c r="P42" s="137">
        <f>IF(A42="","",COUNTIF('Cross ref Tab'!$A$3:$A$311,A42))</f>
        <v>1</v>
      </c>
      <c r="Q42" s="182">
        <f t="shared" si="3"/>
      </c>
      <c r="R42" s="5">
        <f t="shared" si="9"/>
        <v>0</v>
      </c>
      <c r="S42" s="149">
        <f t="shared" si="10"/>
        <v>0</v>
      </c>
      <c r="T42" s="149">
        <f t="shared" si="11"/>
        <v>0</v>
      </c>
      <c r="U42" s="150">
        <f t="shared" si="12"/>
        <v>0</v>
      </c>
      <c r="V42" s="5" t="e">
        <f>VLOOKUP(A42,#REF!,7,FALSE)-C42</f>
        <v>#REF!</v>
      </c>
      <c r="W42" s="5" t="e">
        <f>SUMIF(#REF!,A42,#REF!)-C42</f>
        <v>#REF!</v>
      </c>
      <c r="X42" s="5"/>
      <c r="Y42" s="5"/>
      <c r="Z42" s="5"/>
      <c r="AA42" s="5"/>
      <c r="AB42" s="5"/>
      <c r="AC42" s="5"/>
      <c r="AD42" s="5"/>
      <c r="AE42" s="5"/>
      <c r="AF42" s="5"/>
      <c r="AG42" s="5"/>
      <c r="AH42" s="5"/>
      <c r="AI42" s="5"/>
      <c r="AJ42" s="5"/>
      <c r="AK42" s="5"/>
    </row>
    <row r="43" spans="1:37" ht="15" customHeight="1">
      <c r="A43" s="254">
        <f>IF(Download!B33="","",Download!B33)</f>
        <v>300</v>
      </c>
      <c r="B43" s="254" t="str">
        <f>IF(Download!C33="","",Download!C33)</f>
        <v>Contingency Restricted</v>
      </c>
      <c r="C43" s="45">
        <f>Download!D33</f>
        <v>17</v>
      </c>
      <c r="D43" s="42">
        <f>Download!H33</f>
        <v>17</v>
      </c>
      <c r="E43" s="252"/>
      <c r="F43" s="29">
        <f t="shared" si="2"/>
        <v>0</v>
      </c>
      <c r="G43" s="36"/>
      <c r="H43" s="36"/>
      <c r="I43" s="36"/>
      <c r="J43" s="47">
        <f t="shared" si="0"/>
        <v>17</v>
      </c>
      <c r="K43" s="37">
        <f t="shared" si="1"/>
        <v>0</v>
      </c>
      <c r="L43" s="43">
        <f>IF(ISERROR(VLOOKUP(A43,'Workings Prior Month'!A:N,10,FALSE))=TRUE,0,(VLOOKUP(A43,'Workings Prior Month'!A:N,10,FALSE)))</f>
        <v>17</v>
      </c>
      <c r="M43" s="43">
        <f>IF(ISERROR(VLOOKUP(A43,'Workings Prior Month'!A:N,11,FALSE))=TRUE,0,(VLOOKUP(A43,'Workings Prior Month'!A:N,11,FALSE)))</f>
        <v>0</v>
      </c>
      <c r="N43" s="49">
        <f t="shared" si="8"/>
        <v>0</v>
      </c>
      <c r="O43" s="137">
        <f>IF(ISERROR(VLOOKUP(A43,'Cross ref Tab'!A:C,3,FALSE)=TRUE),9500,VLOOKUP(A43,'Cross ref Tab'!A:C,3,FALSE))</f>
        <v>3200</v>
      </c>
      <c r="P43" s="137">
        <f>IF(A43="","",COUNTIF('Cross ref Tab'!$A$3:$A$311,A43))</f>
        <v>1</v>
      </c>
      <c r="Q43" s="182">
        <f t="shared" si="3"/>
      </c>
      <c r="R43" s="5">
        <f t="shared" si="9"/>
        <v>17</v>
      </c>
      <c r="S43" s="149">
        <f t="shared" si="10"/>
        <v>0</v>
      </c>
      <c r="T43" s="149">
        <f t="shared" si="11"/>
        <v>17</v>
      </c>
      <c r="U43" s="150">
        <f t="shared" si="12"/>
        <v>17</v>
      </c>
      <c r="V43" s="5" t="e">
        <f>VLOOKUP(A43,#REF!,7,FALSE)-C43</f>
        <v>#REF!</v>
      </c>
      <c r="W43" s="5" t="e">
        <f>SUMIF(#REF!,A43,#REF!)-C43</f>
        <v>#REF!</v>
      </c>
      <c r="X43" s="5"/>
      <c r="Y43" s="5"/>
      <c r="Z43" s="5"/>
      <c r="AA43" s="5"/>
      <c r="AB43" s="5"/>
      <c r="AC43" s="5"/>
      <c r="AD43" s="5"/>
      <c r="AE43" s="5"/>
      <c r="AF43" s="5"/>
      <c r="AG43" s="5"/>
      <c r="AH43" s="5"/>
      <c r="AI43" s="5"/>
      <c r="AJ43" s="5"/>
      <c r="AK43" s="5"/>
    </row>
    <row r="44" spans="1:37" ht="15" customHeight="1">
      <c r="A44" s="254">
        <f>IF(Download!B34="","",Download!B34)</f>
        <v>301</v>
      </c>
      <c r="B44" s="254" t="str">
        <f>IF(Download!C34="","",Download!C34)</f>
        <v>Art</v>
      </c>
      <c r="C44" s="45">
        <f>Download!D34</f>
        <v>2200</v>
      </c>
      <c r="D44" s="42">
        <f>Download!H34</f>
        <v>1347.56</v>
      </c>
      <c r="E44" s="252"/>
      <c r="F44" s="29">
        <f t="shared" si="2"/>
        <v>0.3874727272727273</v>
      </c>
      <c r="G44" s="36"/>
      <c r="H44" s="36">
        <v>1347.56</v>
      </c>
      <c r="I44" s="36"/>
      <c r="J44" s="47">
        <f t="shared" si="0"/>
        <v>0</v>
      </c>
      <c r="K44" s="37">
        <f t="shared" si="1"/>
        <v>0</v>
      </c>
      <c r="L44" s="43">
        <f>IF(ISERROR(VLOOKUP(A44,'Workings Prior Month'!A:N,10,FALSE))=TRUE,0,(VLOOKUP(A44,'Workings Prior Month'!A:N,10,FALSE)))</f>
        <v>0</v>
      </c>
      <c r="M44" s="43">
        <f>IF(ISERROR(VLOOKUP(A44,'Workings Prior Month'!A:N,11,FALSE))=TRUE,0,(VLOOKUP(A44,'Workings Prior Month'!A:N,11,FALSE)))</f>
        <v>0</v>
      </c>
      <c r="N44" s="49">
        <f t="shared" si="8"/>
        <v>0</v>
      </c>
      <c r="O44" s="137">
        <f>IF(ISERROR(VLOOKUP(A44,'Cross ref Tab'!A:C,3,FALSE)=TRUE),9500,VLOOKUP(A44,'Cross ref Tab'!A:C,3,FALSE))</f>
        <v>1600</v>
      </c>
      <c r="P44" s="137">
        <f>IF(A44="","",COUNTIF('Cross ref Tab'!$A$3:$A$311,A44))</f>
        <v>1</v>
      </c>
      <c r="Q44" s="182">
        <f t="shared" si="3"/>
      </c>
      <c r="R44" s="5">
        <f t="shared" si="9"/>
        <v>2200</v>
      </c>
      <c r="S44" s="149">
        <f t="shared" si="10"/>
        <v>2200</v>
      </c>
      <c r="T44" s="149">
        <f t="shared" si="11"/>
        <v>0</v>
      </c>
      <c r="U44" s="150">
        <f t="shared" si="12"/>
        <v>0</v>
      </c>
      <c r="V44" s="5" t="e">
        <f>VLOOKUP(A44,#REF!,7,FALSE)-C44</f>
        <v>#REF!</v>
      </c>
      <c r="W44" s="5" t="e">
        <f>SUMIF(#REF!,A44,#REF!)-C44</f>
        <v>#REF!</v>
      </c>
      <c r="X44" s="5"/>
      <c r="Y44" s="5"/>
      <c r="Z44" s="5"/>
      <c r="AA44" s="5"/>
      <c r="AB44" s="5"/>
      <c r="AC44" s="5"/>
      <c r="AD44" s="5"/>
      <c r="AE44" s="5"/>
      <c r="AF44" s="5"/>
      <c r="AG44" s="5"/>
      <c r="AH44" s="5"/>
      <c r="AI44" s="5"/>
      <c r="AJ44" s="5"/>
      <c r="AK44" s="5"/>
    </row>
    <row r="45" spans="1:37" ht="15" customHeight="1">
      <c r="A45" s="254">
        <f>IF(Download!B35="","",Download!B35)</f>
        <v>302</v>
      </c>
      <c r="B45" s="254" t="str">
        <f>IF(Download!C35="","",Download!C35)</f>
        <v>Performing Arts Professionals</v>
      </c>
      <c r="C45" s="45">
        <f>Download!D35</f>
        <v>3000</v>
      </c>
      <c r="D45" s="42">
        <f>Download!H35</f>
        <v>1878.59</v>
      </c>
      <c r="E45" s="252"/>
      <c r="F45" s="29">
        <f t="shared" si="2"/>
        <v>0.3738033333333334</v>
      </c>
      <c r="G45" s="253"/>
      <c r="H45" s="36">
        <v>1878.59</v>
      </c>
      <c r="I45" s="36"/>
      <c r="J45" s="47">
        <f t="shared" si="0"/>
        <v>0</v>
      </c>
      <c r="K45" s="37">
        <f t="shared" si="1"/>
        <v>0</v>
      </c>
      <c r="L45" s="43">
        <f>IF(ISERROR(VLOOKUP(A45,'Workings Prior Month'!A:N,10,FALSE))=TRUE,0,(VLOOKUP(A45,'Workings Prior Month'!A:N,10,FALSE)))</f>
        <v>0</v>
      </c>
      <c r="M45" s="43">
        <f>IF(ISERROR(VLOOKUP(A45,'Workings Prior Month'!A:N,11,FALSE))=TRUE,0,(VLOOKUP(A45,'Workings Prior Month'!A:N,11,FALSE)))</f>
        <v>0</v>
      </c>
      <c r="N45" s="49">
        <f t="shared" si="8"/>
        <v>0</v>
      </c>
      <c r="O45" s="137">
        <f>IF(ISERROR(VLOOKUP(A45,'Cross ref Tab'!A:C,3,FALSE)=TRUE),9500,VLOOKUP(A45,'Cross ref Tab'!A:C,3,FALSE))</f>
        <v>1600</v>
      </c>
      <c r="P45" s="137">
        <f>IF(A45="","",COUNTIF('Cross ref Tab'!$A$3:$A$311,A45))</f>
        <v>1</v>
      </c>
      <c r="Q45" s="182">
        <f t="shared" si="3"/>
      </c>
      <c r="R45" s="5">
        <f t="shared" si="9"/>
        <v>3000</v>
      </c>
      <c r="S45" s="149">
        <f t="shared" si="10"/>
        <v>3000</v>
      </c>
      <c r="T45" s="149">
        <f t="shared" si="11"/>
        <v>0</v>
      </c>
      <c r="U45" s="150">
        <f t="shared" si="12"/>
        <v>0</v>
      </c>
      <c r="V45" s="5" t="e">
        <f>VLOOKUP(A45,#REF!,7,FALSE)-C45</f>
        <v>#REF!</v>
      </c>
      <c r="W45" s="5" t="e">
        <f>SUMIF(#REF!,A45,#REF!)-C45</f>
        <v>#REF!</v>
      </c>
      <c r="X45" s="5"/>
      <c r="Y45" s="5"/>
      <c r="Z45" s="5"/>
      <c r="AA45" s="5"/>
      <c r="AB45" s="5"/>
      <c r="AC45" s="5"/>
      <c r="AD45" s="5"/>
      <c r="AE45" s="5"/>
      <c r="AF45" s="5"/>
      <c r="AG45" s="5"/>
      <c r="AH45" s="5"/>
      <c r="AI45" s="5"/>
      <c r="AJ45" s="5"/>
      <c r="AK45" s="5"/>
    </row>
    <row r="46" spans="1:37" ht="15" customHeight="1">
      <c r="A46" s="70">
        <f>IF(Download!B36="","",Download!B36)</f>
        <v>303</v>
      </c>
      <c r="B46" s="70" t="str">
        <f>IF(Download!C36="","",Download!C36)</f>
        <v>Drama</v>
      </c>
      <c r="C46" s="45">
        <f>Download!D36</f>
        <v>1700</v>
      </c>
      <c r="D46" s="42">
        <f>Download!H36</f>
        <v>663.04</v>
      </c>
      <c r="E46" s="252"/>
      <c r="F46" s="29">
        <f t="shared" si="2"/>
        <v>0.6099764705882353</v>
      </c>
      <c r="G46" s="36"/>
      <c r="H46" s="36">
        <v>663.04</v>
      </c>
      <c r="I46" s="36"/>
      <c r="J46" s="47">
        <f t="shared" si="0"/>
        <v>0</v>
      </c>
      <c r="K46" s="37">
        <f t="shared" si="1"/>
        <v>0</v>
      </c>
      <c r="L46" s="43">
        <f>IF(ISERROR(VLOOKUP(A46,'Workings Prior Month'!A:N,10,FALSE))=TRUE,0,(VLOOKUP(A46,'Workings Prior Month'!A:N,10,FALSE)))</f>
        <v>0</v>
      </c>
      <c r="M46" s="43">
        <f>IF(ISERROR(VLOOKUP(A46,'Workings Prior Month'!A:N,11,FALSE))=TRUE,0,(VLOOKUP(A46,'Workings Prior Month'!A:N,11,FALSE)))</f>
        <v>0</v>
      </c>
      <c r="N46" s="49">
        <f t="shared" si="8"/>
        <v>0</v>
      </c>
      <c r="O46" s="137">
        <f>IF(ISERROR(VLOOKUP(A46,'Cross ref Tab'!A:C,3,FALSE)=TRUE),9500,VLOOKUP(A46,'Cross ref Tab'!A:C,3,FALSE))</f>
        <v>1600</v>
      </c>
      <c r="P46" s="137">
        <f>IF(A46="","",COUNTIF('Cross ref Tab'!$A$3:$A$311,A46))</f>
        <v>1</v>
      </c>
      <c r="Q46" s="182">
        <f t="shared" si="3"/>
      </c>
      <c r="R46" s="5">
        <f t="shared" si="9"/>
        <v>1700</v>
      </c>
      <c r="S46" s="149">
        <f t="shared" si="10"/>
        <v>1700</v>
      </c>
      <c r="T46" s="149">
        <f t="shared" si="11"/>
        <v>0</v>
      </c>
      <c r="U46" s="150">
        <f t="shared" si="12"/>
        <v>0</v>
      </c>
      <c r="V46" s="5" t="e">
        <f>VLOOKUP(A46,#REF!,7,FALSE)-C46</f>
        <v>#REF!</v>
      </c>
      <c r="W46" s="5" t="e">
        <f>SUMIF(#REF!,A46,#REF!)-C46</f>
        <v>#REF!</v>
      </c>
      <c r="X46" s="5"/>
      <c r="Y46" s="5"/>
      <c r="Z46" s="5"/>
      <c r="AA46" s="5"/>
      <c r="AB46" s="5"/>
      <c r="AC46" s="5"/>
      <c r="AD46" s="5"/>
      <c r="AE46" s="5"/>
      <c r="AF46" s="5"/>
      <c r="AG46" s="5"/>
      <c r="AH46" s="5"/>
      <c r="AI46" s="5"/>
      <c r="AJ46" s="5"/>
      <c r="AK46" s="5"/>
    </row>
    <row r="47" spans="1:37" ht="15" customHeight="1">
      <c r="A47" s="70" t="str">
        <f>IF(Download!B37="","",Download!B37)</f>
        <v>303A</v>
      </c>
      <c r="B47" s="70" t="str">
        <f>IF(Download!C37="","",Download!C37)</f>
        <v>Drama Productions</v>
      </c>
      <c r="C47" s="45">
        <f>Download!D37</f>
        <v>1865</v>
      </c>
      <c r="D47" s="42">
        <f>Download!H37</f>
        <v>1560.83</v>
      </c>
      <c r="E47" s="252"/>
      <c r="F47" s="29">
        <f t="shared" si="2"/>
        <v>0.1630938337801609</v>
      </c>
      <c r="G47" s="36"/>
      <c r="H47" s="36">
        <v>1560.83</v>
      </c>
      <c r="I47" s="36"/>
      <c r="J47" s="47">
        <f t="shared" si="0"/>
        <v>0</v>
      </c>
      <c r="K47" s="37">
        <f t="shared" si="1"/>
        <v>0</v>
      </c>
      <c r="L47" s="43">
        <f>IF(ISERROR(VLOOKUP(A47,'Workings Prior Month'!A:N,10,FALSE))=TRUE,0,(VLOOKUP(A47,'Workings Prior Month'!A:N,10,FALSE)))</f>
        <v>0</v>
      </c>
      <c r="M47" s="43">
        <f>IF(ISERROR(VLOOKUP(A47,'Workings Prior Month'!A:N,11,FALSE))=TRUE,0,(VLOOKUP(A47,'Workings Prior Month'!A:N,11,FALSE)))</f>
        <v>0</v>
      </c>
      <c r="N47" s="49">
        <f t="shared" si="8"/>
        <v>0</v>
      </c>
      <c r="O47" s="137">
        <f>IF(ISERROR(VLOOKUP(A47,'Cross ref Tab'!A:C,3,FALSE)=TRUE),9500,VLOOKUP(A47,'Cross ref Tab'!A:C,3,FALSE))</f>
        <v>1600</v>
      </c>
      <c r="P47" s="137">
        <f>IF(A47="","",COUNTIF('Cross ref Tab'!$A$3:$A$311,A47))</f>
        <v>1</v>
      </c>
      <c r="Q47" s="182">
        <f t="shared" si="3"/>
      </c>
      <c r="R47" s="5">
        <f t="shared" si="9"/>
        <v>1865</v>
      </c>
      <c r="S47" s="149">
        <f t="shared" si="10"/>
        <v>1865</v>
      </c>
      <c r="T47" s="149">
        <f t="shared" si="11"/>
        <v>0</v>
      </c>
      <c r="U47" s="150">
        <f t="shared" si="12"/>
        <v>0</v>
      </c>
      <c r="V47" s="5" t="e">
        <f>VLOOKUP(A47,#REF!,7,FALSE)-C47</f>
        <v>#REF!</v>
      </c>
      <c r="W47" s="5" t="e">
        <f>SUMIF(#REF!,A47,#REF!)-C47</f>
        <v>#REF!</v>
      </c>
      <c r="X47" s="5"/>
      <c r="Y47" s="5"/>
      <c r="Z47" s="5"/>
      <c r="AA47" s="5"/>
      <c r="AB47" s="5"/>
      <c r="AC47" s="5"/>
      <c r="AD47" s="5"/>
      <c r="AE47" s="5"/>
      <c r="AF47" s="5"/>
      <c r="AG47" s="5"/>
      <c r="AH47" s="5"/>
      <c r="AI47" s="5"/>
      <c r="AJ47" s="5"/>
      <c r="AK47" s="5"/>
    </row>
    <row r="48" spans="1:37" ht="15" customHeight="1">
      <c r="A48" s="70">
        <f>IF(Download!B38="","",Download!B38)</f>
        <v>304</v>
      </c>
      <c r="B48" s="70" t="str">
        <f>IF(Download!C38="","",Download!C38)</f>
        <v>Music</v>
      </c>
      <c r="C48" s="45">
        <f>Download!D38</f>
        <v>1300</v>
      </c>
      <c r="D48" s="42">
        <f>Download!H38</f>
        <v>-5.02</v>
      </c>
      <c r="E48" s="252"/>
      <c r="F48" s="29">
        <f t="shared" si="2"/>
        <v>1.0038615384615384</v>
      </c>
      <c r="G48" s="36"/>
      <c r="H48" s="36"/>
      <c r="I48" s="36"/>
      <c r="J48" s="47">
        <f t="shared" si="0"/>
        <v>0</v>
      </c>
      <c r="K48" s="37">
        <f t="shared" si="1"/>
        <v>5.02</v>
      </c>
      <c r="L48" s="43">
        <f>IF(ISERROR(VLOOKUP(A48,'Workings Prior Month'!A:N,10,FALSE))=TRUE,0,(VLOOKUP(A48,'Workings Prior Month'!A:N,10,FALSE)))</f>
        <v>0</v>
      </c>
      <c r="M48" s="43">
        <f>IF(ISERROR(VLOOKUP(A48,'Workings Prior Month'!A:N,11,FALSE))=TRUE,0,(VLOOKUP(A48,'Workings Prior Month'!A:N,11,FALSE)))</f>
        <v>0</v>
      </c>
      <c r="N48" s="49">
        <f t="shared" si="8"/>
        <v>-5.02</v>
      </c>
      <c r="O48" s="137">
        <f>IF(ISERROR(VLOOKUP(A48,'Cross ref Tab'!A:C,3,FALSE)=TRUE),9500,VLOOKUP(A48,'Cross ref Tab'!A:C,3,FALSE))</f>
        <v>1600</v>
      </c>
      <c r="P48" s="137">
        <f>IF(A48="","",COUNTIF('Cross ref Tab'!$A$3:$A$311,A48))</f>
        <v>1</v>
      </c>
      <c r="Q48" s="182">
        <f t="shared" si="3"/>
      </c>
      <c r="R48" s="5">
        <f t="shared" si="9"/>
        <v>1300</v>
      </c>
      <c r="S48" s="149">
        <f t="shared" si="10"/>
        <v>1305.02</v>
      </c>
      <c r="T48" s="149">
        <f t="shared" si="11"/>
        <v>-5.019999999999982</v>
      </c>
      <c r="U48" s="150">
        <f t="shared" si="12"/>
        <v>1.7763568394002505E-14</v>
      </c>
      <c r="V48" s="5" t="e">
        <f>VLOOKUP(A48,#REF!,7,FALSE)-C48</f>
        <v>#REF!</v>
      </c>
      <c r="W48" s="5" t="e">
        <f>SUMIF(#REF!,A48,#REF!)-C48</f>
        <v>#REF!</v>
      </c>
      <c r="X48" s="5"/>
      <c r="Y48" s="5"/>
      <c r="Z48" s="5"/>
      <c r="AA48" s="5"/>
      <c r="AB48" s="5"/>
      <c r="AC48" s="5"/>
      <c r="AD48" s="5"/>
      <c r="AE48" s="5"/>
      <c r="AF48" s="5"/>
      <c r="AG48" s="5"/>
      <c r="AH48" s="5"/>
      <c r="AI48" s="5"/>
      <c r="AJ48" s="5"/>
      <c r="AK48" s="5"/>
    </row>
    <row r="49" spans="1:37" ht="15" customHeight="1">
      <c r="A49" s="70" t="str">
        <f>IF(Download!B39="","",Download!B39)</f>
        <v>304A</v>
      </c>
      <c r="B49" s="70" t="str">
        <f>IF(Download!C39="","",Download!C39)</f>
        <v>Music Productions</v>
      </c>
      <c r="C49" s="45">
        <f>Download!D39</f>
        <v>3175</v>
      </c>
      <c r="D49" s="42">
        <f>Download!H39</f>
        <v>3371.38</v>
      </c>
      <c r="E49" s="252"/>
      <c r="F49" s="29">
        <f t="shared" si="2"/>
        <v>-0.061851968503937045</v>
      </c>
      <c r="G49" s="36"/>
      <c r="H49" s="36">
        <v>3371.38</v>
      </c>
      <c r="I49" s="253"/>
      <c r="J49" s="47">
        <f t="shared" si="0"/>
        <v>0</v>
      </c>
      <c r="K49" s="37">
        <f t="shared" si="1"/>
        <v>0</v>
      </c>
      <c r="L49" s="43">
        <f>IF(ISERROR(VLOOKUP(A49,'Workings Prior Month'!A:N,10,FALSE))=TRUE,0,(VLOOKUP(A49,'Workings Prior Month'!A:N,10,FALSE)))</f>
        <v>0</v>
      </c>
      <c r="M49" s="43">
        <f>IF(ISERROR(VLOOKUP(A49,'Workings Prior Month'!A:N,11,FALSE))=TRUE,0,(VLOOKUP(A49,'Workings Prior Month'!A:N,11,FALSE)))</f>
        <v>0</v>
      </c>
      <c r="N49" s="49">
        <f t="shared" si="8"/>
        <v>0</v>
      </c>
      <c r="O49" s="137">
        <f>IF(ISERROR(VLOOKUP(A49,'Cross ref Tab'!A:C,3,FALSE)=TRUE),9500,VLOOKUP(A49,'Cross ref Tab'!A:C,3,FALSE))</f>
        <v>1600</v>
      </c>
      <c r="P49" s="137">
        <f>IF(A49="","",COUNTIF('Cross ref Tab'!$A$3:$A$311,A49))</f>
        <v>1</v>
      </c>
      <c r="Q49" s="182">
        <f t="shared" si="3"/>
      </c>
      <c r="R49" s="5">
        <f t="shared" si="9"/>
        <v>3175</v>
      </c>
      <c r="S49" s="149">
        <f t="shared" si="10"/>
        <v>3175</v>
      </c>
      <c r="T49" s="149">
        <f t="shared" si="11"/>
        <v>0</v>
      </c>
      <c r="U49" s="150">
        <f t="shared" si="12"/>
        <v>0</v>
      </c>
      <c r="V49" s="5" t="e">
        <f>VLOOKUP(A49,#REF!,7,FALSE)-C49</f>
        <v>#REF!</v>
      </c>
      <c r="W49" s="5" t="e">
        <f>SUMIF(#REF!,A49,#REF!)-C49</f>
        <v>#REF!</v>
      </c>
      <c r="X49" s="5"/>
      <c r="Y49" s="5"/>
      <c r="Z49" s="5"/>
      <c r="AA49" s="5"/>
      <c r="AB49" s="5"/>
      <c r="AC49" s="5"/>
      <c r="AD49" s="5"/>
      <c r="AE49" s="5"/>
      <c r="AF49" s="5"/>
      <c r="AG49" s="5"/>
      <c r="AH49" s="5"/>
      <c r="AI49" s="5"/>
      <c r="AJ49" s="5"/>
      <c r="AK49" s="5"/>
    </row>
    <row r="50" spans="1:37" ht="15" customHeight="1">
      <c r="A50" s="70">
        <f>IF(Download!B40="","",Download!B40)</f>
        <v>305</v>
      </c>
      <c r="B50" s="70" t="str">
        <f>IF(Download!C40="","",Download!C40)</f>
        <v>Creative Writing</v>
      </c>
      <c r="C50" s="45">
        <f>Download!D40</f>
        <v>250</v>
      </c>
      <c r="D50" s="42">
        <f>Download!H40</f>
        <v>250</v>
      </c>
      <c r="E50" s="252"/>
      <c r="F50" s="29">
        <f t="shared" si="2"/>
        <v>0</v>
      </c>
      <c r="G50" s="36"/>
      <c r="H50" s="36">
        <v>250</v>
      </c>
      <c r="I50" s="253"/>
      <c r="J50" s="47">
        <f t="shared" si="0"/>
        <v>0</v>
      </c>
      <c r="K50" s="37">
        <f t="shared" si="1"/>
        <v>0</v>
      </c>
      <c r="L50" s="43">
        <f>IF(ISERROR(VLOOKUP(A50,'Workings Prior Month'!A:N,10,FALSE))=TRUE,0,(VLOOKUP(A50,'Workings Prior Month'!A:N,10,FALSE)))</f>
        <v>0</v>
      </c>
      <c r="M50" s="43">
        <f>IF(ISERROR(VLOOKUP(A50,'Workings Prior Month'!A:N,11,FALSE))=TRUE,0,(VLOOKUP(A50,'Workings Prior Month'!A:N,11,FALSE)))</f>
        <v>0</v>
      </c>
      <c r="N50" s="49">
        <f t="shared" si="8"/>
        <v>0</v>
      </c>
      <c r="O50" s="137">
        <f>IF(ISERROR(VLOOKUP(A50,'Cross ref Tab'!A:C,3,FALSE)=TRUE),9500,VLOOKUP(A50,'Cross ref Tab'!A:C,3,FALSE))</f>
        <v>1600</v>
      </c>
      <c r="P50" s="137">
        <f>IF(A50="","",COUNTIF('Cross ref Tab'!$A$3:$A$311,A50))</f>
        <v>1</v>
      </c>
      <c r="Q50" s="182">
        <f t="shared" si="3"/>
      </c>
      <c r="R50" s="5">
        <f t="shared" si="9"/>
        <v>250</v>
      </c>
      <c r="S50" s="149">
        <f t="shared" si="10"/>
        <v>250</v>
      </c>
      <c r="T50" s="149">
        <f t="shared" si="11"/>
        <v>0</v>
      </c>
      <c r="U50" s="150">
        <f t="shared" si="12"/>
        <v>0</v>
      </c>
      <c r="V50" s="5" t="e">
        <f>VLOOKUP(A50,#REF!,7,FALSE)-C50</f>
        <v>#REF!</v>
      </c>
      <c r="W50" s="5" t="e">
        <f>SUMIF(#REF!,A50,#REF!)-C50</f>
        <v>#REF!</v>
      </c>
      <c r="X50" s="5"/>
      <c r="Y50" s="5"/>
      <c r="Z50" s="5"/>
      <c r="AA50" s="5"/>
      <c r="AB50" s="5"/>
      <c r="AC50" s="5"/>
      <c r="AD50" s="5"/>
      <c r="AE50" s="5"/>
      <c r="AF50" s="5"/>
      <c r="AG50" s="5"/>
      <c r="AH50" s="5"/>
      <c r="AI50" s="5"/>
      <c r="AJ50" s="5"/>
      <c r="AK50" s="5"/>
    </row>
    <row r="51" spans="1:37" ht="15" customHeight="1">
      <c r="A51" s="70">
        <f>IF(Download!B41="","",Download!B41)</f>
        <v>306</v>
      </c>
      <c r="B51" s="70" t="str">
        <f>IF(Download!C41="","",Download!C41)</f>
        <v>English</v>
      </c>
      <c r="C51" s="45">
        <f>Download!D41</f>
        <v>5200</v>
      </c>
      <c r="D51" s="42">
        <f>Download!H41</f>
        <v>2767</v>
      </c>
      <c r="E51" s="252"/>
      <c r="F51" s="29">
        <f t="shared" si="2"/>
        <v>0.4678846153846154</v>
      </c>
      <c r="G51" s="36"/>
      <c r="H51" s="36">
        <v>2767</v>
      </c>
      <c r="I51" s="253"/>
      <c r="J51" s="47">
        <f t="shared" si="0"/>
        <v>0</v>
      </c>
      <c r="K51" s="37">
        <f t="shared" si="1"/>
        <v>0</v>
      </c>
      <c r="L51" s="43">
        <f>IF(ISERROR(VLOOKUP(A51,'Workings Prior Month'!A:N,10,FALSE))=TRUE,0,(VLOOKUP(A51,'Workings Prior Month'!A:N,10,FALSE)))</f>
        <v>0</v>
      </c>
      <c r="M51" s="43">
        <f>IF(ISERROR(VLOOKUP(A51,'Workings Prior Month'!A:N,11,FALSE))=TRUE,0,(VLOOKUP(A51,'Workings Prior Month'!A:N,11,FALSE)))</f>
        <v>0</v>
      </c>
      <c r="N51" s="49">
        <f t="shared" si="8"/>
        <v>0</v>
      </c>
      <c r="O51" s="137">
        <f>IF(ISERROR(VLOOKUP(A51,'Cross ref Tab'!A:C,3,FALSE)=TRUE),9500,VLOOKUP(A51,'Cross ref Tab'!A:C,3,FALSE))</f>
        <v>1600</v>
      </c>
      <c r="P51" s="137">
        <f>IF(A51="","",COUNTIF('Cross ref Tab'!$A$3:$A$311,A51))</f>
        <v>1</v>
      </c>
      <c r="Q51" s="182">
        <f t="shared" si="3"/>
      </c>
      <c r="R51" s="5">
        <f t="shared" si="9"/>
        <v>5200</v>
      </c>
      <c r="S51" s="149">
        <f t="shared" si="10"/>
        <v>5200</v>
      </c>
      <c r="T51" s="149">
        <f t="shared" si="11"/>
        <v>0</v>
      </c>
      <c r="U51" s="150">
        <f t="shared" si="12"/>
        <v>0</v>
      </c>
      <c r="V51" s="5" t="e">
        <f>VLOOKUP(A51,#REF!,7,FALSE)-C51</f>
        <v>#REF!</v>
      </c>
      <c r="W51" s="5" t="e">
        <f>SUMIF(#REF!,A51,#REF!)-C51</f>
        <v>#REF!</v>
      </c>
      <c r="X51" s="5"/>
      <c r="Y51" s="5"/>
      <c r="Z51" s="5"/>
      <c r="AA51" s="5"/>
      <c r="AB51" s="5"/>
      <c r="AC51" s="5"/>
      <c r="AD51" s="5"/>
      <c r="AE51" s="5"/>
      <c r="AF51" s="5"/>
      <c r="AG51" s="5"/>
      <c r="AH51" s="5"/>
      <c r="AI51" s="5"/>
      <c r="AJ51" s="5"/>
      <c r="AK51" s="5"/>
    </row>
    <row r="52" spans="1:37" ht="15" customHeight="1">
      <c r="A52" s="70">
        <f>IF(Download!B42="","",Download!B42)</f>
        <v>307</v>
      </c>
      <c r="B52" s="70" t="str">
        <f>IF(Download!C42="","",Download!C42)</f>
        <v>Modern Languages</v>
      </c>
      <c r="C52" s="45">
        <f>Download!D42</f>
        <v>2125</v>
      </c>
      <c r="D52" s="42">
        <f>Download!H42</f>
        <v>1077.43</v>
      </c>
      <c r="E52" s="252"/>
      <c r="F52" s="29">
        <f t="shared" si="2"/>
        <v>0.4929741176470588</v>
      </c>
      <c r="G52" s="36"/>
      <c r="H52" s="36">
        <v>1077.43</v>
      </c>
      <c r="I52" s="253"/>
      <c r="J52" s="47">
        <f t="shared" si="0"/>
        <v>0</v>
      </c>
      <c r="K52" s="37">
        <f t="shared" si="1"/>
        <v>0</v>
      </c>
      <c r="L52" s="43">
        <f>IF(ISERROR(VLOOKUP(A52,'Workings Prior Month'!A:N,10,FALSE))=TRUE,0,(VLOOKUP(A52,'Workings Prior Month'!A:N,10,FALSE)))</f>
        <v>0</v>
      </c>
      <c r="M52" s="43">
        <f>IF(ISERROR(VLOOKUP(A52,'Workings Prior Month'!A:N,11,FALSE))=TRUE,0,(VLOOKUP(A52,'Workings Prior Month'!A:N,11,FALSE)))</f>
        <v>0</v>
      </c>
      <c r="N52" s="49">
        <f t="shared" si="8"/>
        <v>0</v>
      </c>
      <c r="O52" s="137">
        <f>IF(ISERROR(VLOOKUP(A52,'Cross ref Tab'!A:C,3,FALSE)=TRUE),9500,VLOOKUP(A52,'Cross ref Tab'!A:C,3,FALSE))</f>
        <v>1600</v>
      </c>
      <c r="P52" s="137">
        <f>IF(A52="","",COUNTIF('Cross ref Tab'!$A$3:$A$311,A52))</f>
        <v>1</v>
      </c>
      <c r="Q52" s="182">
        <f t="shared" si="3"/>
      </c>
      <c r="R52" s="5">
        <f t="shared" si="9"/>
        <v>2125</v>
      </c>
      <c r="S52" s="149">
        <f t="shared" si="10"/>
        <v>2125</v>
      </c>
      <c r="T52" s="149">
        <f t="shared" si="11"/>
        <v>0</v>
      </c>
      <c r="U52" s="150">
        <f t="shared" si="12"/>
        <v>0</v>
      </c>
      <c r="V52" s="5" t="e">
        <f>VLOOKUP(A52,#REF!,7,FALSE)-C52</f>
        <v>#REF!</v>
      </c>
      <c r="W52" s="5" t="e">
        <f>SUMIF(#REF!,A52,#REF!)-C52</f>
        <v>#REF!</v>
      </c>
      <c r="X52" s="5"/>
      <c r="Y52" s="5"/>
      <c r="Z52" s="5"/>
      <c r="AA52" s="5"/>
      <c r="AB52" s="5"/>
      <c r="AC52" s="5"/>
      <c r="AD52" s="5"/>
      <c r="AE52" s="5"/>
      <c r="AF52" s="5"/>
      <c r="AG52" s="5"/>
      <c r="AH52" s="5"/>
      <c r="AI52" s="5"/>
      <c r="AJ52" s="5"/>
      <c r="AK52" s="5"/>
    </row>
    <row r="53" spans="1:37" ht="15" customHeight="1">
      <c r="A53" s="70">
        <f>IF(Download!B43="","",Download!B43)</f>
        <v>308</v>
      </c>
      <c r="B53" s="70" t="str">
        <f>IF(Download!C43="","",Download!C43)</f>
        <v>Geography</v>
      </c>
      <c r="C53" s="45">
        <f>Download!D43</f>
        <v>1700</v>
      </c>
      <c r="D53" s="42">
        <f>Download!H43</f>
        <v>1087.49</v>
      </c>
      <c r="E53" s="252"/>
      <c r="F53" s="29">
        <f t="shared" si="2"/>
        <v>0.3603</v>
      </c>
      <c r="G53" s="36"/>
      <c r="H53" s="36">
        <v>1087.49</v>
      </c>
      <c r="I53" s="253"/>
      <c r="J53" s="47">
        <f t="shared" si="0"/>
        <v>0</v>
      </c>
      <c r="K53" s="37">
        <f t="shared" si="1"/>
        <v>0</v>
      </c>
      <c r="L53" s="43">
        <f>IF(ISERROR(VLOOKUP(A53,'Workings Prior Month'!A:N,10,FALSE))=TRUE,0,(VLOOKUP(A53,'Workings Prior Month'!A:N,10,FALSE)))</f>
        <v>0</v>
      </c>
      <c r="M53" s="43">
        <f>IF(ISERROR(VLOOKUP(A53,'Workings Prior Month'!A:N,11,FALSE))=TRUE,0,(VLOOKUP(A53,'Workings Prior Month'!A:N,11,FALSE)))</f>
        <v>0</v>
      </c>
      <c r="N53" s="49">
        <f t="shared" si="8"/>
        <v>0</v>
      </c>
      <c r="O53" s="137">
        <f>IF(ISERROR(VLOOKUP(A53,'Cross ref Tab'!A:C,3,FALSE)=TRUE),9500,VLOOKUP(A53,'Cross ref Tab'!A:C,3,FALSE))</f>
        <v>1600</v>
      </c>
      <c r="P53" s="137">
        <f>IF(A53="","",COUNTIF('Cross ref Tab'!$A$3:$A$311,A53))</f>
        <v>1</v>
      </c>
      <c r="Q53" s="182">
        <f t="shared" si="3"/>
      </c>
      <c r="R53" s="5">
        <f t="shared" si="9"/>
        <v>1700</v>
      </c>
      <c r="S53" s="149">
        <f t="shared" si="10"/>
        <v>1700</v>
      </c>
      <c r="T53" s="149">
        <f t="shared" si="11"/>
        <v>0</v>
      </c>
      <c r="U53" s="150">
        <f t="shared" si="12"/>
        <v>0</v>
      </c>
      <c r="V53" s="5" t="e">
        <f>VLOOKUP(A53,#REF!,7,FALSE)-C53</f>
        <v>#REF!</v>
      </c>
      <c r="W53" s="5" t="e">
        <f>SUMIF(#REF!,A53,#REF!)-C53</f>
        <v>#REF!</v>
      </c>
      <c r="X53" s="5"/>
      <c r="Y53" s="5"/>
      <c r="Z53" s="5"/>
      <c r="AA53" s="5"/>
      <c r="AB53" s="5"/>
      <c r="AC53" s="5"/>
      <c r="AD53" s="5"/>
      <c r="AE53" s="5"/>
      <c r="AF53" s="5"/>
      <c r="AG53" s="5"/>
      <c r="AH53" s="5"/>
      <c r="AI53" s="5"/>
      <c r="AJ53" s="5"/>
      <c r="AK53" s="5"/>
    </row>
    <row r="54" spans="1:37" ht="15" customHeight="1">
      <c r="A54" s="70">
        <f>IF(Download!B44="","",Download!B44)</f>
        <v>309</v>
      </c>
      <c r="B54" s="70" t="str">
        <f>IF(Download!C44="","",Download!C44)</f>
        <v>History</v>
      </c>
      <c r="C54" s="45">
        <f>Download!D44</f>
        <v>1700</v>
      </c>
      <c r="D54" s="42">
        <f>Download!H44</f>
        <v>11.47</v>
      </c>
      <c r="E54" s="252"/>
      <c r="F54" s="29">
        <f t="shared" si="2"/>
        <v>0.9932529411764706</v>
      </c>
      <c r="G54" s="36"/>
      <c r="H54" s="36">
        <v>11.47</v>
      </c>
      <c r="I54" s="253"/>
      <c r="J54" s="47">
        <f t="shared" si="0"/>
        <v>0</v>
      </c>
      <c r="K54" s="37">
        <f t="shared" si="1"/>
        <v>0</v>
      </c>
      <c r="L54" s="43">
        <f>IF(ISERROR(VLOOKUP(A54,'Workings Prior Month'!A:N,10,FALSE))=TRUE,0,(VLOOKUP(A54,'Workings Prior Month'!A:N,10,FALSE)))</f>
        <v>0</v>
      </c>
      <c r="M54" s="43">
        <f>IF(ISERROR(VLOOKUP(A54,'Workings Prior Month'!A:N,11,FALSE))=TRUE,0,(VLOOKUP(A54,'Workings Prior Month'!A:N,11,FALSE)))</f>
        <v>0</v>
      </c>
      <c r="N54" s="49">
        <f t="shared" si="8"/>
        <v>0</v>
      </c>
      <c r="O54" s="137">
        <f>IF(ISERROR(VLOOKUP(A54,'Cross ref Tab'!A:C,3,FALSE)=TRUE),9500,VLOOKUP(A54,'Cross ref Tab'!A:C,3,FALSE))</f>
        <v>1600</v>
      </c>
      <c r="P54" s="137">
        <f>IF(A54="","",COUNTIF('Cross ref Tab'!$A$3:$A$311,A54))</f>
        <v>1</v>
      </c>
      <c r="Q54" s="182">
        <f t="shared" si="3"/>
      </c>
      <c r="R54" s="5">
        <f t="shared" si="9"/>
        <v>1700</v>
      </c>
      <c r="S54" s="149">
        <f t="shared" si="10"/>
        <v>1700</v>
      </c>
      <c r="T54" s="149">
        <f t="shared" si="11"/>
        <v>0</v>
      </c>
      <c r="U54" s="150">
        <f t="shared" si="12"/>
        <v>0</v>
      </c>
      <c r="V54" s="5" t="e">
        <f>VLOOKUP(A54,#REF!,7,FALSE)-C54</f>
        <v>#REF!</v>
      </c>
      <c r="W54" s="5" t="e">
        <f>SUMIF(#REF!,A54,#REF!)-C54</f>
        <v>#REF!</v>
      </c>
      <c r="X54" s="5"/>
      <c r="Y54" s="5"/>
      <c r="Z54" s="5"/>
      <c r="AA54" s="5"/>
      <c r="AB54" s="5"/>
      <c r="AC54" s="5"/>
      <c r="AD54" s="5"/>
      <c r="AE54" s="5"/>
      <c r="AF54" s="5"/>
      <c r="AG54" s="5"/>
      <c r="AH54" s="5"/>
      <c r="AI54" s="5"/>
      <c r="AJ54" s="5"/>
      <c r="AK54" s="5"/>
    </row>
    <row r="55" spans="1:37" ht="15" customHeight="1">
      <c r="A55" s="70">
        <f>IF(Download!B45="","",Download!B45)</f>
        <v>312</v>
      </c>
      <c r="B55" s="290" t="str">
        <f>IF(Download!C45="","",Download!C45)</f>
        <v>Social Sciences</v>
      </c>
      <c r="C55" s="45">
        <f>Download!D45</f>
        <v>1275</v>
      </c>
      <c r="D55" s="42">
        <f>Download!H45</f>
        <v>810.77</v>
      </c>
      <c r="E55" s="252"/>
      <c r="F55" s="29">
        <f t="shared" si="2"/>
        <v>0.3641019607843137</v>
      </c>
      <c r="G55" s="36"/>
      <c r="H55" s="36">
        <v>810.77</v>
      </c>
      <c r="I55" s="253"/>
      <c r="J55" s="47">
        <f t="shared" si="0"/>
        <v>0</v>
      </c>
      <c r="K55" s="37">
        <f t="shared" si="1"/>
        <v>0</v>
      </c>
      <c r="L55" s="43">
        <f>IF(ISERROR(VLOOKUP(A55,'Workings Prior Month'!A:N,10,FALSE))=TRUE,0,(VLOOKUP(A55,'Workings Prior Month'!A:N,10,FALSE)))</f>
        <v>0</v>
      </c>
      <c r="M55" s="43">
        <f>IF(ISERROR(VLOOKUP(A55,'Workings Prior Month'!A:N,11,FALSE))=TRUE,0,(VLOOKUP(A55,'Workings Prior Month'!A:N,11,FALSE)))</f>
        <v>0</v>
      </c>
      <c r="N55" s="49">
        <f t="shared" si="8"/>
        <v>0</v>
      </c>
      <c r="O55" s="137">
        <f>IF(ISERROR(VLOOKUP(A55,'Cross ref Tab'!A:C,3,FALSE)=TRUE),9500,VLOOKUP(A55,'Cross ref Tab'!A:C,3,FALSE))</f>
        <v>1600</v>
      </c>
      <c r="P55" s="137">
        <f>IF(A55="","",COUNTIF('Cross ref Tab'!$A$3:$A$311,A55))</f>
        <v>1</v>
      </c>
      <c r="Q55" s="182">
        <f t="shared" si="3"/>
      </c>
      <c r="R55" s="5">
        <f t="shared" si="9"/>
        <v>1275</v>
      </c>
      <c r="S55" s="149">
        <f t="shared" si="10"/>
        <v>1275</v>
      </c>
      <c r="T55" s="149">
        <f t="shared" si="11"/>
        <v>0</v>
      </c>
      <c r="U55" s="150">
        <f t="shared" si="12"/>
        <v>0</v>
      </c>
      <c r="V55" s="5" t="e">
        <f>VLOOKUP(A55,#REF!,7,FALSE)-C55</f>
        <v>#REF!</v>
      </c>
      <c r="W55" s="5" t="e">
        <f>SUMIF(#REF!,A55,#REF!)-C55</f>
        <v>#REF!</v>
      </c>
      <c r="X55" s="5"/>
      <c r="Y55" s="5"/>
      <c r="Z55" s="5"/>
      <c r="AA55" s="5"/>
      <c r="AB55" s="5"/>
      <c r="AC55" s="5"/>
      <c r="AD55" s="5"/>
      <c r="AE55" s="5"/>
      <c r="AF55" s="5"/>
      <c r="AG55" s="5"/>
      <c r="AH55" s="5"/>
      <c r="AI55" s="5"/>
      <c r="AJ55" s="5"/>
      <c r="AK55" s="5"/>
    </row>
    <row r="56" spans="1:37" ht="15" customHeight="1">
      <c r="A56" s="70">
        <f>IF(Download!B46="","",Download!B46)</f>
        <v>313</v>
      </c>
      <c r="B56" s="70" t="str">
        <f>IF(Download!C46="","",Download!C46)</f>
        <v>Science</v>
      </c>
      <c r="C56" s="45">
        <f>Download!D46</f>
        <v>9400</v>
      </c>
      <c r="D56" s="42">
        <f>Download!H46</f>
        <v>2747.12</v>
      </c>
      <c r="E56" s="252"/>
      <c r="F56" s="29">
        <f t="shared" si="2"/>
        <v>0.7077531914893617</v>
      </c>
      <c r="G56" s="36"/>
      <c r="H56" s="36">
        <v>2747.12</v>
      </c>
      <c r="I56" s="253"/>
      <c r="J56" s="47">
        <f t="shared" si="0"/>
        <v>0</v>
      </c>
      <c r="K56" s="37">
        <f t="shared" si="1"/>
        <v>0</v>
      </c>
      <c r="L56" s="43">
        <f>IF(ISERROR(VLOOKUP(A56,'Workings Prior Month'!A:N,10,FALSE))=TRUE,0,(VLOOKUP(A56,'Workings Prior Month'!A:N,10,FALSE)))</f>
        <v>0</v>
      </c>
      <c r="M56" s="43">
        <f>IF(ISERROR(VLOOKUP(A56,'Workings Prior Month'!A:N,11,FALSE))=TRUE,0,(VLOOKUP(A56,'Workings Prior Month'!A:N,11,FALSE)))</f>
        <v>0</v>
      </c>
      <c r="N56" s="49">
        <f t="shared" si="8"/>
        <v>0</v>
      </c>
      <c r="O56" s="137">
        <f>IF(ISERROR(VLOOKUP(A56,'Cross ref Tab'!A:C,3,FALSE)=TRUE),9500,VLOOKUP(A56,'Cross ref Tab'!A:C,3,FALSE))</f>
        <v>1600</v>
      </c>
      <c r="P56" s="137">
        <f>IF(A56="","",COUNTIF('Cross ref Tab'!$A$3:$A$311,A56))</f>
        <v>1</v>
      </c>
      <c r="Q56" s="182">
        <f t="shared" si="3"/>
      </c>
      <c r="R56" s="5">
        <f t="shared" si="9"/>
        <v>9400</v>
      </c>
      <c r="S56" s="149">
        <f t="shared" si="10"/>
        <v>9400</v>
      </c>
      <c r="T56" s="149">
        <f t="shared" si="11"/>
        <v>0</v>
      </c>
      <c r="U56" s="150">
        <f t="shared" si="12"/>
        <v>0</v>
      </c>
      <c r="V56" s="5" t="e">
        <f>VLOOKUP(A56,#REF!,7,FALSE)-C56</f>
        <v>#REF!</v>
      </c>
      <c r="W56" s="5" t="e">
        <f>SUMIF(#REF!,A56,#REF!)-C56</f>
        <v>#REF!</v>
      </c>
      <c r="X56" s="5"/>
      <c r="Y56" s="5"/>
      <c r="Z56" s="5"/>
      <c r="AA56" s="5"/>
      <c r="AB56" s="5"/>
      <c r="AC56" s="5"/>
      <c r="AD56" s="5"/>
      <c r="AE56" s="5"/>
      <c r="AF56" s="5"/>
      <c r="AG56" s="5"/>
      <c r="AH56" s="5"/>
      <c r="AI56" s="5"/>
      <c r="AJ56" s="5"/>
      <c r="AK56" s="5"/>
    </row>
    <row r="57" spans="1:37" ht="15" customHeight="1">
      <c r="A57" s="70">
        <f>IF(Download!B47="","",Download!B47)</f>
        <v>314</v>
      </c>
      <c r="B57" s="70" t="str">
        <f>IF(Download!C47="","",Download!C47)</f>
        <v>Business Studies</v>
      </c>
      <c r="C57" s="45">
        <f>Download!D47</f>
        <v>1800</v>
      </c>
      <c r="D57" s="42">
        <f>Download!H47</f>
        <v>992.54</v>
      </c>
      <c r="E57" s="252"/>
      <c r="F57" s="29">
        <f t="shared" si="2"/>
        <v>0.4485888888888889</v>
      </c>
      <c r="G57" s="36"/>
      <c r="H57" s="36">
        <v>992.54</v>
      </c>
      <c r="I57" s="36"/>
      <c r="J57" s="47">
        <f t="shared" si="0"/>
        <v>0</v>
      </c>
      <c r="K57" s="37">
        <f t="shared" si="1"/>
        <v>0</v>
      </c>
      <c r="L57" s="43">
        <f>IF(ISERROR(VLOOKUP(A57,'Workings Prior Month'!A:N,10,FALSE))=TRUE,0,(VLOOKUP(A57,'Workings Prior Month'!A:N,10,FALSE)))</f>
        <v>0</v>
      </c>
      <c r="M57" s="43">
        <f>IF(ISERROR(VLOOKUP(A57,'Workings Prior Month'!A:N,11,FALSE))=TRUE,0,(VLOOKUP(A57,'Workings Prior Month'!A:N,11,FALSE)))</f>
        <v>0</v>
      </c>
      <c r="N57" s="49">
        <f t="shared" si="8"/>
        <v>0</v>
      </c>
      <c r="O57" s="137">
        <f>IF(ISERROR(VLOOKUP(A57,'Cross ref Tab'!A:C,3,FALSE)=TRUE),9500,VLOOKUP(A57,'Cross ref Tab'!A:C,3,FALSE))</f>
        <v>1600</v>
      </c>
      <c r="P57" s="137">
        <f>IF(A57="","",COUNTIF('Cross ref Tab'!$A$3:$A$311,A57))</f>
        <v>1</v>
      </c>
      <c r="Q57" s="182">
        <f t="shared" si="3"/>
      </c>
      <c r="R57" s="5">
        <f t="shared" si="9"/>
        <v>1800</v>
      </c>
      <c r="S57" s="149">
        <f t="shared" si="10"/>
        <v>1800</v>
      </c>
      <c r="T57" s="149">
        <f t="shared" si="11"/>
        <v>0</v>
      </c>
      <c r="U57" s="150">
        <f t="shared" si="12"/>
        <v>0</v>
      </c>
      <c r="V57" s="5" t="e">
        <f>VLOOKUP(A57,#REF!,7,FALSE)-C57</f>
        <v>#REF!</v>
      </c>
      <c r="W57" s="5" t="e">
        <f>SUMIF(#REF!,A57,#REF!)-C57</f>
        <v>#REF!</v>
      </c>
      <c r="X57" s="5"/>
      <c r="Y57" s="5"/>
      <c r="Z57" s="5"/>
      <c r="AA57" s="5"/>
      <c r="AB57" s="5"/>
      <c r="AC57" s="5"/>
      <c r="AD57" s="5"/>
      <c r="AE57" s="5"/>
      <c r="AF57" s="5"/>
      <c r="AG57" s="5"/>
      <c r="AH57" s="5"/>
      <c r="AI57" s="5"/>
      <c r="AJ57" s="5"/>
      <c r="AK57" s="5"/>
    </row>
    <row r="58" spans="1:37" ht="15" customHeight="1">
      <c r="A58" s="70">
        <f>IF(Download!B48="","",Download!B48)</f>
        <v>316</v>
      </c>
      <c r="B58" s="70" t="str">
        <f>IF(Download!C48="","",Download!C48)</f>
        <v>Design &amp; Technology</v>
      </c>
      <c r="C58" s="45">
        <f>Download!D48</f>
        <v>2200</v>
      </c>
      <c r="D58" s="42">
        <f>Download!H48</f>
        <v>1602.67</v>
      </c>
      <c r="E58" s="252"/>
      <c r="F58" s="29">
        <f t="shared" si="2"/>
        <v>0.27151363636363635</v>
      </c>
      <c r="G58" s="36"/>
      <c r="H58" s="36">
        <v>1602.67</v>
      </c>
      <c r="I58" s="36"/>
      <c r="J58" s="47">
        <f t="shared" si="0"/>
        <v>0</v>
      </c>
      <c r="K58" s="37">
        <f t="shared" si="1"/>
        <v>0</v>
      </c>
      <c r="L58" s="43">
        <f>IF(ISERROR(VLOOKUP(A58,'Workings Prior Month'!A:N,10,FALSE))=TRUE,0,(VLOOKUP(A58,'Workings Prior Month'!A:N,10,FALSE)))</f>
        <v>0</v>
      </c>
      <c r="M58" s="43">
        <f>IF(ISERROR(VLOOKUP(A58,'Workings Prior Month'!A:N,11,FALSE))=TRUE,0,(VLOOKUP(A58,'Workings Prior Month'!A:N,11,FALSE)))</f>
        <v>0</v>
      </c>
      <c r="N58" s="49">
        <f t="shared" si="8"/>
        <v>0</v>
      </c>
      <c r="O58" s="137">
        <f>IF(ISERROR(VLOOKUP(A58,'Cross ref Tab'!A:C,3,FALSE)=TRUE),9500,VLOOKUP(A58,'Cross ref Tab'!A:C,3,FALSE))</f>
        <v>1600</v>
      </c>
      <c r="P58" s="137">
        <f>IF(A58="","",COUNTIF('Cross ref Tab'!$A$3:$A$311,A58))</f>
        <v>1</v>
      </c>
      <c r="Q58" s="182">
        <f t="shared" si="3"/>
      </c>
      <c r="R58" s="5">
        <f t="shared" si="9"/>
        <v>2200</v>
      </c>
      <c r="S58" s="149">
        <f t="shared" si="10"/>
        <v>2200</v>
      </c>
      <c r="T58" s="149">
        <f t="shared" si="11"/>
        <v>0</v>
      </c>
      <c r="U58" s="150">
        <f t="shared" si="12"/>
        <v>0</v>
      </c>
      <c r="V58" s="5" t="e">
        <f>VLOOKUP(A58,#REF!,7,FALSE)-C58</f>
        <v>#REF!</v>
      </c>
      <c r="W58" s="5" t="e">
        <f>SUMIF(#REF!,A58,#REF!)-C58</f>
        <v>#REF!</v>
      </c>
      <c r="X58" s="5"/>
      <c r="Y58" s="5"/>
      <c r="Z58" s="5"/>
      <c r="AA58" s="5"/>
      <c r="AB58" s="5"/>
      <c r="AC58" s="5"/>
      <c r="AD58" s="5"/>
      <c r="AE58" s="5"/>
      <c r="AF58" s="5"/>
      <c r="AG58" s="5"/>
      <c r="AH58" s="5"/>
      <c r="AI58" s="5"/>
      <c r="AJ58" s="5"/>
      <c r="AK58" s="5"/>
    </row>
    <row r="59" spans="1:37" ht="15" customHeight="1">
      <c r="A59" s="70">
        <f>IF(Download!B49="","",Download!B49)</f>
        <v>317</v>
      </c>
      <c r="B59" s="70" t="str">
        <f>IF(Download!C49="","",Download!C49)</f>
        <v>Information Technology</v>
      </c>
      <c r="C59" s="45">
        <f>Download!D49</f>
        <v>1000</v>
      </c>
      <c r="D59" s="42">
        <f>Download!H49</f>
        <v>356.49</v>
      </c>
      <c r="E59" s="252"/>
      <c r="F59" s="29">
        <f t="shared" si="2"/>
        <v>0.64351</v>
      </c>
      <c r="G59" s="36"/>
      <c r="H59" s="36">
        <v>356.49</v>
      </c>
      <c r="I59" s="253"/>
      <c r="J59" s="47">
        <f t="shared" si="0"/>
        <v>0</v>
      </c>
      <c r="K59" s="37">
        <f t="shared" si="1"/>
        <v>0</v>
      </c>
      <c r="L59" s="43">
        <f>IF(ISERROR(VLOOKUP(A59,'Workings Prior Month'!A:N,10,FALSE))=TRUE,0,(VLOOKUP(A59,'Workings Prior Month'!A:N,10,FALSE)))</f>
        <v>0</v>
      </c>
      <c r="M59" s="43">
        <f>IF(ISERROR(VLOOKUP(A59,'Workings Prior Month'!A:N,11,FALSE))=TRUE,0,(VLOOKUP(A59,'Workings Prior Month'!A:N,11,FALSE)))</f>
        <v>0</v>
      </c>
      <c r="N59" s="49">
        <f t="shared" si="8"/>
        <v>0</v>
      </c>
      <c r="O59" s="137">
        <f>IF(ISERROR(VLOOKUP(A59,'Cross ref Tab'!A:C,3,FALSE)=TRUE),9500,VLOOKUP(A59,'Cross ref Tab'!A:C,3,FALSE))</f>
        <v>1600</v>
      </c>
      <c r="P59" s="137">
        <f>IF(A59="","",COUNTIF('Cross ref Tab'!$A$3:$A$311,A59))</f>
        <v>1</v>
      </c>
      <c r="Q59" s="182">
        <f t="shared" si="3"/>
      </c>
      <c r="R59" s="5">
        <f t="shared" si="9"/>
        <v>1000</v>
      </c>
      <c r="S59" s="149">
        <f t="shared" si="10"/>
        <v>1000</v>
      </c>
      <c r="T59" s="149">
        <f t="shared" si="11"/>
        <v>0</v>
      </c>
      <c r="U59" s="150">
        <f t="shared" si="12"/>
        <v>0</v>
      </c>
      <c r="V59" s="5" t="e">
        <f>VLOOKUP(A59,#REF!,7,FALSE)-C59</f>
        <v>#REF!</v>
      </c>
      <c r="W59" s="5" t="e">
        <f>SUMIF(#REF!,A59,#REF!)-C59</f>
        <v>#REF!</v>
      </c>
      <c r="X59" s="5"/>
      <c r="Y59" s="5"/>
      <c r="Z59" s="5"/>
      <c r="AA59" s="5"/>
      <c r="AB59" s="5"/>
      <c r="AC59" s="5"/>
      <c r="AD59" s="5"/>
      <c r="AE59" s="5"/>
      <c r="AF59" s="5"/>
      <c r="AG59" s="5"/>
      <c r="AH59" s="5"/>
      <c r="AI59" s="5"/>
      <c r="AJ59" s="5"/>
      <c r="AK59" s="5"/>
    </row>
    <row r="60" spans="1:37" ht="15" customHeight="1">
      <c r="A60" s="70">
        <f>IF(Download!B50="","",Download!B50)</f>
        <v>318</v>
      </c>
      <c r="B60" s="70" t="str">
        <f>IF(Download!C50="","",Download!C50)</f>
        <v>DT &amp; Voc Productions</v>
      </c>
      <c r="C60" s="45">
        <f>Download!D50</f>
        <v>448</v>
      </c>
      <c r="D60" s="42">
        <f>Download!H50</f>
        <v>690.2</v>
      </c>
      <c r="E60" s="252"/>
      <c r="F60" s="29">
        <f t="shared" si="2"/>
        <v>-0.5406250000000001</v>
      </c>
      <c r="G60" s="36"/>
      <c r="H60" s="36">
        <v>690.2</v>
      </c>
      <c r="I60" s="253"/>
      <c r="J60" s="47">
        <f t="shared" si="0"/>
        <v>0</v>
      </c>
      <c r="K60" s="37">
        <f t="shared" si="1"/>
        <v>0</v>
      </c>
      <c r="L60" s="43">
        <f>IF(ISERROR(VLOOKUP(A60,'Workings Prior Month'!A:N,10,FALSE))=TRUE,0,(VLOOKUP(A60,'Workings Prior Month'!A:N,10,FALSE)))</f>
        <v>0</v>
      </c>
      <c r="M60" s="43">
        <f>IF(ISERROR(VLOOKUP(A60,'Workings Prior Month'!A:N,11,FALSE))=TRUE,0,(VLOOKUP(A60,'Workings Prior Month'!A:N,11,FALSE)))</f>
        <v>0</v>
      </c>
      <c r="N60" s="49">
        <f t="shared" si="8"/>
        <v>0</v>
      </c>
      <c r="O60" s="137">
        <f>IF(ISERROR(VLOOKUP(A60,'Cross ref Tab'!A:C,3,FALSE)=TRUE),9500,VLOOKUP(A60,'Cross ref Tab'!A:C,3,FALSE))</f>
        <v>1600</v>
      </c>
      <c r="P60" s="137">
        <f>IF(A60="","",COUNTIF('Cross ref Tab'!$A$3:$A$311,A60))</f>
        <v>1</v>
      </c>
      <c r="Q60" s="182">
        <f t="shared" si="3"/>
      </c>
      <c r="R60" s="5">
        <f t="shared" si="9"/>
        <v>448</v>
      </c>
      <c r="S60" s="149">
        <f t="shared" si="10"/>
        <v>448</v>
      </c>
      <c r="T60" s="149">
        <f t="shared" si="11"/>
        <v>0</v>
      </c>
      <c r="U60" s="150">
        <f t="shared" si="12"/>
        <v>0</v>
      </c>
      <c r="V60" s="5" t="e">
        <f>VLOOKUP(A60,#REF!,7,FALSE)-C60</f>
        <v>#REF!</v>
      </c>
      <c r="W60" s="5" t="e">
        <f>SUMIF(#REF!,A60,#REF!)-C60</f>
        <v>#REF!</v>
      </c>
      <c r="X60" s="5"/>
      <c r="Y60" s="5"/>
      <c r="Z60" s="5"/>
      <c r="AA60" s="5"/>
      <c r="AB60" s="5"/>
      <c r="AC60" s="5"/>
      <c r="AD60" s="5"/>
      <c r="AE60" s="5"/>
      <c r="AF60" s="5"/>
      <c r="AG60" s="5"/>
      <c r="AH60" s="5"/>
      <c r="AI60" s="5"/>
      <c r="AJ60" s="5"/>
      <c r="AK60" s="5"/>
    </row>
    <row r="61" spans="1:37" ht="15" customHeight="1">
      <c r="A61" s="70">
        <f>IF(Download!B51="","",Download!B51)</f>
        <v>319</v>
      </c>
      <c r="B61" s="70" t="str">
        <f>IF(Download!C51="","",Download!C51)</f>
        <v>Mathematics</v>
      </c>
      <c r="C61" s="45">
        <f>Download!D51</f>
        <v>4900</v>
      </c>
      <c r="D61" s="42">
        <f>Download!H51</f>
        <v>4003.1</v>
      </c>
      <c r="E61" s="252"/>
      <c r="F61" s="29">
        <f t="shared" si="2"/>
        <v>0.18304081632653063</v>
      </c>
      <c r="G61" s="36"/>
      <c r="H61" s="36">
        <v>4003.1</v>
      </c>
      <c r="I61" s="253"/>
      <c r="J61" s="47">
        <f t="shared" si="0"/>
        <v>0</v>
      </c>
      <c r="K61" s="37">
        <f t="shared" si="1"/>
        <v>0</v>
      </c>
      <c r="L61" s="43">
        <f>IF(ISERROR(VLOOKUP(A61,'Workings Prior Month'!A:N,10,FALSE))=TRUE,0,(VLOOKUP(A61,'Workings Prior Month'!A:N,10,FALSE)))</f>
        <v>0</v>
      </c>
      <c r="M61" s="43">
        <f>IF(ISERROR(VLOOKUP(A61,'Workings Prior Month'!A:N,11,FALSE))=TRUE,0,(VLOOKUP(A61,'Workings Prior Month'!A:N,11,FALSE)))</f>
        <v>0</v>
      </c>
      <c r="N61" s="49">
        <f t="shared" si="8"/>
        <v>0</v>
      </c>
      <c r="O61" s="137">
        <f>IF(ISERROR(VLOOKUP(A61,'Cross ref Tab'!A:C,3,FALSE)=TRUE),9500,VLOOKUP(A61,'Cross ref Tab'!A:C,3,FALSE))</f>
        <v>1600</v>
      </c>
      <c r="P61" s="137">
        <f>IF(A61="","",COUNTIF('Cross ref Tab'!$A$3:$A$311,A61))</f>
        <v>1</v>
      </c>
      <c r="Q61" s="182">
        <f t="shared" si="3"/>
      </c>
      <c r="R61" s="5">
        <f t="shared" si="9"/>
        <v>4900</v>
      </c>
      <c r="S61" s="149">
        <f t="shared" si="10"/>
        <v>4900</v>
      </c>
      <c r="T61" s="149">
        <f t="shared" si="11"/>
        <v>0</v>
      </c>
      <c r="U61" s="150">
        <f t="shared" si="12"/>
        <v>0</v>
      </c>
      <c r="V61" s="5" t="e">
        <f>VLOOKUP(A61,#REF!,7,FALSE)-C61</f>
        <v>#REF!</v>
      </c>
      <c r="W61" s="5" t="e">
        <f>SUMIF(#REF!,A61,#REF!)-C61</f>
        <v>#REF!</v>
      </c>
      <c r="X61" s="5"/>
      <c r="Y61" s="5"/>
      <c r="Z61" s="5"/>
      <c r="AA61" s="5"/>
      <c r="AB61" s="5"/>
      <c r="AC61" s="5"/>
      <c r="AD61" s="5"/>
      <c r="AE61" s="5"/>
      <c r="AF61" s="5"/>
      <c r="AG61" s="5"/>
      <c r="AH61" s="5"/>
      <c r="AI61" s="5"/>
      <c r="AJ61" s="5"/>
      <c r="AK61" s="5"/>
    </row>
    <row r="62" spans="1:37" ht="15" customHeight="1">
      <c r="A62" s="70">
        <f>IF(Download!B52="","",Download!B52)</f>
        <v>320</v>
      </c>
      <c r="B62" s="70" t="str">
        <f>IF(Download!C52="","",Download!C52)</f>
        <v>Physical Education</v>
      </c>
      <c r="C62" s="45">
        <f>Download!D52</f>
        <v>5598</v>
      </c>
      <c r="D62" s="42">
        <f>Download!H52</f>
        <v>3676.7</v>
      </c>
      <c r="E62" s="252"/>
      <c r="F62" s="29">
        <f t="shared" si="2"/>
        <v>0.343211861379064</v>
      </c>
      <c r="G62" s="36"/>
      <c r="H62" s="36">
        <v>3676.7</v>
      </c>
      <c r="I62" s="253"/>
      <c r="J62" s="47">
        <f t="shared" si="0"/>
        <v>0</v>
      </c>
      <c r="K62" s="37">
        <f t="shared" si="1"/>
        <v>0</v>
      </c>
      <c r="L62" s="43">
        <f>IF(ISERROR(VLOOKUP(A62,'Workings Prior Month'!A:N,10,FALSE))=TRUE,0,(VLOOKUP(A62,'Workings Prior Month'!A:N,10,FALSE)))</f>
        <v>0</v>
      </c>
      <c r="M62" s="43">
        <f>IF(ISERROR(VLOOKUP(A62,'Workings Prior Month'!A:N,11,FALSE))=TRUE,0,(VLOOKUP(A62,'Workings Prior Month'!A:N,11,FALSE)))</f>
        <v>0</v>
      </c>
      <c r="N62" s="49">
        <f t="shared" si="8"/>
        <v>0</v>
      </c>
      <c r="O62" s="137">
        <f>IF(ISERROR(VLOOKUP(A62,'Cross ref Tab'!A:C,3,FALSE)=TRUE),9500,VLOOKUP(A62,'Cross ref Tab'!A:C,3,FALSE))</f>
        <v>1600</v>
      </c>
      <c r="P62" s="137">
        <f>IF(A62="","",COUNTIF('Cross ref Tab'!$A$3:$A$311,A62))</f>
        <v>1</v>
      </c>
      <c r="Q62" s="182">
        <f t="shared" si="3"/>
      </c>
      <c r="R62" s="5">
        <f t="shared" si="9"/>
        <v>5598</v>
      </c>
      <c r="S62" s="149">
        <f t="shared" si="10"/>
        <v>5598</v>
      </c>
      <c r="T62" s="149">
        <f t="shared" si="11"/>
        <v>0</v>
      </c>
      <c r="U62" s="150">
        <f t="shared" si="12"/>
        <v>0</v>
      </c>
      <c r="V62" s="5" t="e">
        <f>VLOOKUP(A62,#REF!,7,FALSE)-C62</f>
        <v>#REF!</v>
      </c>
      <c r="W62" s="5" t="e">
        <f>SUMIF(#REF!,A62,#REF!)-C62</f>
        <v>#REF!</v>
      </c>
      <c r="X62" s="5"/>
      <c r="Y62" s="5"/>
      <c r="Z62" s="5"/>
      <c r="AA62" s="5"/>
      <c r="AB62" s="5"/>
      <c r="AC62" s="5"/>
      <c r="AD62" s="5"/>
      <c r="AE62" s="5"/>
      <c r="AF62" s="5"/>
      <c r="AG62" s="5"/>
      <c r="AH62" s="5"/>
      <c r="AI62" s="5"/>
      <c r="AJ62" s="5"/>
      <c r="AK62" s="5"/>
    </row>
    <row r="63" spans="1:37" ht="15" customHeight="1">
      <c r="A63" s="70">
        <f>IF(Download!B53="","",Download!B53)</f>
        <v>322</v>
      </c>
      <c r="B63" s="70" t="str">
        <f>IF(Download!C53="","",Download!C53)</f>
        <v>Citizenship</v>
      </c>
      <c r="C63" s="45">
        <f>Download!D53</f>
        <v>1700</v>
      </c>
      <c r="D63" s="42">
        <f>Download!H53</f>
        <v>1205.41</v>
      </c>
      <c r="E63" s="252"/>
      <c r="F63" s="29">
        <f t="shared" si="2"/>
        <v>0.290935294117647</v>
      </c>
      <c r="G63" s="36"/>
      <c r="H63" s="36">
        <v>1205.41</v>
      </c>
      <c r="I63" s="36"/>
      <c r="J63" s="47">
        <f t="shared" si="0"/>
        <v>0</v>
      </c>
      <c r="K63" s="37">
        <f t="shared" si="1"/>
        <v>0</v>
      </c>
      <c r="L63" s="43">
        <f>IF(ISERROR(VLOOKUP(A63,'Workings Prior Month'!A:N,10,FALSE))=TRUE,0,(VLOOKUP(A63,'Workings Prior Month'!A:N,10,FALSE)))</f>
        <v>0</v>
      </c>
      <c r="M63" s="43">
        <f>IF(ISERROR(VLOOKUP(A63,'Workings Prior Month'!A:N,11,FALSE))=TRUE,0,(VLOOKUP(A63,'Workings Prior Month'!A:N,11,FALSE)))</f>
        <v>0</v>
      </c>
      <c r="N63" s="49">
        <f t="shared" si="8"/>
        <v>0</v>
      </c>
      <c r="O63" s="137">
        <f>IF(ISERROR(VLOOKUP(A63,'Cross ref Tab'!A:C,3,FALSE)=TRUE),9500,VLOOKUP(A63,'Cross ref Tab'!A:C,3,FALSE))</f>
        <v>1600</v>
      </c>
      <c r="P63" s="137">
        <f>IF(A63="","",COUNTIF('Cross ref Tab'!$A$3:$A$311,A63))</f>
        <v>1</v>
      </c>
      <c r="Q63" s="182">
        <f t="shared" si="3"/>
      </c>
      <c r="R63" s="5">
        <f t="shared" si="9"/>
        <v>1700</v>
      </c>
      <c r="S63" s="149">
        <f t="shared" si="10"/>
        <v>1700</v>
      </c>
      <c r="T63" s="149">
        <f t="shared" si="11"/>
        <v>0</v>
      </c>
      <c r="U63" s="150">
        <f t="shared" si="12"/>
        <v>0</v>
      </c>
      <c r="V63" s="5" t="e">
        <f>VLOOKUP(A63,#REF!,7,FALSE)-C63</f>
        <v>#REF!</v>
      </c>
      <c r="W63" s="5" t="e">
        <f>SUMIF(#REF!,A63,#REF!)-C63</f>
        <v>#REF!</v>
      </c>
      <c r="X63" s="5"/>
      <c r="Y63" s="5"/>
      <c r="Z63" s="5"/>
      <c r="AA63" s="5"/>
      <c r="AB63" s="5"/>
      <c r="AC63" s="5"/>
      <c r="AD63" s="5"/>
      <c r="AE63" s="5"/>
      <c r="AF63" s="5"/>
      <c r="AG63" s="5"/>
      <c r="AH63" s="5"/>
      <c r="AI63" s="5"/>
      <c r="AJ63" s="5"/>
      <c r="AK63" s="5"/>
    </row>
    <row r="64" spans="1:37" ht="15" customHeight="1">
      <c r="A64" s="70">
        <f>IF(Download!B54="","",Download!B54)</f>
        <v>323</v>
      </c>
      <c r="B64" s="70" t="str">
        <f>IF(Download!C54="","",Download!C54)</f>
        <v>Literacy - Whole School</v>
      </c>
      <c r="C64" s="45">
        <f>Download!D54</f>
        <v>500</v>
      </c>
      <c r="D64" s="42">
        <f>Download!H54</f>
        <v>497.16</v>
      </c>
      <c r="E64" s="252"/>
      <c r="F64" s="29">
        <f t="shared" si="2"/>
        <v>0.00567999999999995</v>
      </c>
      <c r="G64" s="36"/>
      <c r="H64" s="36">
        <v>497.16</v>
      </c>
      <c r="I64" s="253"/>
      <c r="J64" s="47">
        <f t="shared" si="0"/>
        <v>0</v>
      </c>
      <c r="K64" s="37">
        <f t="shared" si="1"/>
        <v>0</v>
      </c>
      <c r="L64" s="43">
        <f>IF(ISERROR(VLOOKUP(A64,'Workings Prior Month'!A:N,10,FALSE))=TRUE,0,(VLOOKUP(A64,'Workings Prior Month'!A:N,10,FALSE)))</f>
        <v>0</v>
      </c>
      <c r="M64" s="43">
        <f>IF(ISERROR(VLOOKUP(A64,'Workings Prior Month'!A:N,11,FALSE))=TRUE,0,(VLOOKUP(A64,'Workings Prior Month'!A:N,11,FALSE)))</f>
        <v>0</v>
      </c>
      <c r="N64" s="49">
        <f t="shared" si="8"/>
        <v>0</v>
      </c>
      <c r="O64" s="137">
        <f>IF(ISERROR(VLOOKUP(A64,'Cross ref Tab'!A:C,3,FALSE)=TRUE),9500,VLOOKUP(A64,'Cross ref Tab'!A:C,3,FALSE))</f>
        <v>1600</v>
      </c>
      <c r="P64" s="137">
        <f>IF(A64="","",COUNTIF('Cross ref Tab'!$A$3:$A$311,A64))</f>
        <v>1</v>
      </c>
      <c r="Q64" s="182">
        <f t="shared" si="3"/>
      </c>
      <c r="R64" s="5">
        <f t="shared" si="9"/>
        <v>500</v>
      </c>
      <c r="S64" s="149">
        <f t="shared" si="10"/>
        <v>500</v>
      </c>
      <c r="T64" s="149">
        <f t="shared" si="11"/>
        <v>0</v>
      </c>
      <c r="U64" s="150">
        <f t="shared" si="12"/>
        <v>0</v>
      </c>
      <c r="V64" s="5" t="e">
        <f>VLOOKUP(A64,#REF!,7,FALSE)-C64</f>
        <v>#REF!</v>
      </c>
      <c r="W64" s="5" t="e">
        <f>SUMIF(#REF!,A64,#REF!)-C64</f>
        <v>#REF!</v>
      </c>
      <c r="X64" s="5"/>
      <c r="Y64" s="5"/>
      <c r="Z64" s="5"/>
      <c r="AA64" s="5"/>
      <c r="AB64" s="5"/>
      <c r="AC64" s="5"/>
      <c r="AD64" s="5"/>
      <c r="AE64" s="5"/>
      <c r="AF64" s="5"/>
      <c r="AG64" s="5"/>
      <c r="AH64" s="5"/>
      <c r="AI64" s="5"/>
      <c r="AJ64" s="5"/>
      <c r="AK64" s="5"/>
    </row>
    <row r="65" spans="1:37" ht="15" customHeight="1">
      <c r="A65" s="70">
        <f>IF(Download!B55="","",Download!B55)</f>
        <v>324</v>
      </c>
      <c r="B65" s="70" t="str">
        <f>IF(Download!C55="","",Download!C55)</f>
        <v>Numeracy - Whole School</v>
      </c>
      <c r="C65" s="45">
        <f>Download!D55</f>
        <v>250</v>
      </c>
      <c r="D65" s="42">
        <f>Download!H55</f>
        <v>60</v>
      </c>
      <c r="E65" s="252"/>
      <c r="F65" s="29">
        <f t="shared" si="2"/>
        <v>0.76</v>
      </c>
      <c r="G65" s="36"/>
      <c r="H65" s="36">
        <v>60</v>
      </c>
      <c r="I65" s="253"/>
      <c r="J65" s="47">
        <f t="shared" si="0"/>
        <v>0</v>
      </c>
      <c r="K65" s="37">
        <f t="shared" si="1"/>
        <v>0</v>
      </c>
      <c r="L65" s="43">
        <f>IF(ISERROR(VLOOKUP(A65,'Workings Prior Month'!A:N,10,FALSE))=TRUE,0,(VLOOKUP(A65,'Workings Prior Month'!A:N,10,FALSE)))</f>
        <v>0</v>
      </c>
      <c r="M65" s="43">
        <f>IF(ISERROR(VLOOKUP(A65,'Workings Prior Month'!A:N,11,FALSE))=TRUE,0,(VLOOKUP(A65,'Workings Prior Month'!A:N,11,FALSE)))</f>
        <v>0</v>
      </c>
      <c r="N65" s="49">
        <f t="shared" si="8"/>
        <v>0</v>
      </c>
      <c r="O65" s="137">
        <f>IF(ISERROR(VLOOKUP(A65,'Cross ref Tab'!A:C,3,FALSE)=TRUE),9500,VLOOKUP(A65,'Cross ref Tab'!A:C,3,FALSE))</f>
        <v>1600</v>
      </c>
      <c r="P65" s="137">
        <f>IF(A65="","",COUNTIF('Cross ref Tab'!$A$3:$A$311,A65))</f>
        <v>1</v>
      </c>
      <c r="Q65" s="182">
        <f t="shared" si="3"/>
      </c>
      <c r="R65" s="5">
        <f t="shared" si="9"/>
        <v>250</v>
      </c>
      <c r="S65" s="149">
        <f t="shared" si="10"/>
        <v>250</v>
      </c>
      <c r="T65" s="149">
        <f t="shared" si="11"/>
        <v>0</v>
      </c>
      <c r="U65" s="150">
        <f t="shared" si="12"/>
        <v>0</v>
      </c>
      <c r="V65" s="5" t="e">
        <f>VLOOKUP(A65,#REF!,7,FALSE)-C65</f>
        <v>#REF!</v>
      </c>
      <c r="W65" s="5" t="e">
        <f>SUMIF(#REF!,A65,#REF!)-C65</f>
        <v>#REF!</v>
      </c>
      <c r="X65" s="5"/>
      <c r="Y65" s="5"/>
      <c r="Z65" s="5"/>
      <c r="AA65" s="5"/>
      <c r="AB65" s="5"/>
      <c r="AC65" s="5"/>
      <c r="AD65" s="5"/>
      <c r="AE65" s="5"/>
      <c r="AF65" s="5"/>
      <c r="AG65" s="5"/>
      <c r="AH65" s="5"/>
      <c r="AI65" s="5"/>
      <c r="AJ65" s="5"/>
      <c r="AK65" s="5"/>
    </row>
    <row r="66" spans="1:37" ht="15" customHeight="1">
      <c r="A66" s="70">
        <f>IF(Download!B56="","",Download!B56)</f>
        <v>325</v>
      </c>
      <c r="B66" s="70" t="str">
        <f>IF(Download!C56="","",Download!C56)</f>
        <v>PASS</v>
      </c>
      <c r="C66" s="45">
        <f>Download!D56</f>
        <v>500</v>
      </c>
      <c r="D66" s="42">
        <f>Download!H56</f>
        <v>388.86</v>
      </c>
      <c r="E66" s="252"/>
      <c r="F66" s="29">
        <f t="shared" si="2"/>
        <v>0.22227999999999998</v>
      </c>
      <c r="G66" s="36"/>
      <c r="H66" s="36">
        <v>388.86</v>
      </c>
      <c r="I66" s="253"/>
      <c r="J66" s="47">
        <f t="shared" si="0"/>
        <v>0</v>
      </c>
      <c r="K66" s="37">
        <f t="shared" si="1"/>
        <v>0</v>
      </c>
      <c r="L66" s="43">
        <f>IF(ISERROR(VLOOKUP(A66,'Workings Prior Month'!A:N,10,FALSE))=TRUE,0,(VLOOKUP(A66,'Workings Prior Month'!A:N,10,FALSE)))</f>
        <v>0</v>
      </c>
      <c r="M66" s="43">
        <f>IF(ISERROR(VLOOKUP(A66,'Workings Prior Month'!A:N,11,FALSE))=TRUE,0,(VLOOKUP(A66,'Workings Prior Month'!A:N,11,FALSE)))</f>
        <v>0</v>
      </c>
      <c r="N66" s="49">
        <f t="shared" si="8"/>
        <v>0</v>
      </c>
      <c r="O66" s="137">
        <f>IF(ISERROR(VLOOKUP(A66,'Cross ref Tab'!A:C,3,FALSE)=TRUE),9500,VLOOKUP(A66,'Cross ref Tab'!A:C,3,FALSE))</f>
        <v>1600</v>
      </c>
      <c r="P66" s="137">
        <f>IF(A66="","",COUNTIF('Cross ref Tab'!$A$3:$A$311,A66))</f>
        <v>1</v>
      </c>
      <c r="Q66" s="182">
        <f t="shared" si="3"/>
      </c>
      <c r="R66" s="5">
        <f t="shared" si="9"/>
        <v>500</v>
      </c>
      <c r="S66" s="149">
        <f t="shared" si="10"/>
        <v>500</v>
      </c>
      <c r="T66" s="149">
        <f t="shared" si="11"/>
        <v>0</v>
      </c>
      <c r="U66" s="150">
        <f t="shared" si="12"/>
        <v>0</v>
      </c>
      <c r="V66" s="5" t="e">
        <f>VLOOKUP(A66,#REF!,7,FALSE)-C66</f>
        <v>#REF!</v>
      </c>
      <c r="W66" s="5" t="e">
        <f>SUMIF(#REF!,A66,#REF!)-C66</f>
        <v>#REF!</v>
      </c>
      <c r="X66" s="5"/>
      <c r="Y66" s="5"/>
      <c r="Z66" s="5"/>
      <c r="AA66" s="5"/>
      <c r="AB66" s="5"/>
      <c r="AC66" s="5"/>
      <c r="AD66" s="5"/>
      <c r="AE66" s="5"/>
      <c r="AF66" s="5"/>
      <c r="AG66" s="5"/>
      <c r="AH66" s="5"/>
      <c r="AI66" s="5"/>
      <c r="AJ66" s="5"/>
      <c r="AK66" s="5"/>
    </row>
    <row r="67" spans="1:37" ht="15" customHeight="1">
      <c r="A67" s="70">
        <f>IF(Download!B57="","",Download!B57)</f>
        <v>326</v>
      </c>
      <c r="B67" s="70" t="str">
        <f>IF(Download!C57="","",Download!C57)</f>
        <v>Learning Trollies</v>
      </c>
      <c r="C67" s="45">
        <f>Download!D57</f>
        <v>900</v>
      </c>
      <c r="D67" s="42">
        <f>Download!H57</f>
        <v>741.72</v>
      </c>
      <c r="E67" s="252"/>
      <c r="F67" s="29">
        <f t="shared" si="2"/>
        <v>0.17586666666666664</v>
      </c>
      <c r="G67" s="36"/>
      <c r="H67" s="36">
        <v>741.72</v>
      </c>
      <c r="I67" s="253"/>
      <c r="J67" s="47">
        <f t="shared" si="0"/>
        <v>0</v>
      </c>
      <c r="K67" s="37">
        <f t="shared" si="1"/>
        <v>0</v>
      </c>
      <c r="L67" s="43">
        <f>IF(ISERROR(VLOOKUP(A67,'Workings Prior Month'!A:N,10,FALSE))=TRUE,0,(VLOOKUP(A67,'Workings Prior Month'!A:N,10,FALSE)))</f>
        <v>0</v>
      </c>
      <c r="M67" s="43">
        <f>IF(ISERROR(VLOOKUP(A67,'Workings Prior Month'!A:N,11,FALSE))=TRUE,0,(VLOOKUP(A67,'Workings Prior Month'!A:N,11,FALSE)))</f>
        <v>0</v>
      </c>
      <c r="N67" s="49">
        <f t="shared" si="8"/>
        <v>0</v>
      </c>
      <c r="O67" s="137">
        <f>IF(ISERROR(VLOOKUP(A67,'Cross ref Tab'!A:C,3,FALSE)=TRUE),9500,VLOOKUP(A67,'Cross ref Tab'!A:C,3,FALSE))</f>
        <v>1600</v>
      </c>
      <c r="P67" s="137">
        <f>IF(A67="","",COUNTIF('Cross ref Tab'!$A$3:$A$311,A67))</f>
        <v>1</v>
      </c>
      <c r="Q67" s="182">
        <f t="shared" si="3"/>
      </c>
      <c r="R67" s="5">
        <f t="shared" si="9"/>
        <v>900</v>
      </c>
      <c r="S67" s="149">
        <f t="shared" si="10"/>
        <v>900</v>
      </c>
      <c r="T67" s="149">
        <f t="shared" si="11"/>
        <v>0</v>
      </c>
      <c r="U67" s="150">
        <f t="shared" si="12"/>
        <v>0</v>
      </c>
      <c r="V67" s="5" t="e">
        <f>VLOOKUP(A67,#REF!,7,FALSE)-C67</f>
        <v>#REF!</v>
      </c>
      <c r="W67" s="5" t="e">
        <f>SUMIF(#REF!,A67,#REF!)-C67</f>
        <v>#REF!</v>
      </c>
      <c r="X67" s="5"/>
      <c r="Y67" s="5"/>
      <c r="Z67" s="5"/>
      <c r="AA67" s="5"/>
      <c r="AB67" s="5"/>
      <c r="AC67" s="5"/>
      <c r="AD67" s="5"/>
      <c r="AE67" s="5"/>
      <c r="AF67" s="5"/>
      <c r="AG67" s="5"/>
      <c r="AH67" s="5"/>
      <c r="AI67" s="5"/>
      <c r="AJ67" s="5"/>
      <c r="AK67" s="5"/>
    </row>
    <row r="68" spans="1:37" ht="15" customHeight="1">
      <c r="A68" s="70">
        <f>IF(Download!B58="","",Download!B58)</f>
        <v>330</v>
      </c>
      <c r="B68" s="70" t="str">
        <f>IF(Download!C58="","",Download!C58)</f>
        <v>Fixtures Expenses</v>
      </c>
      <c r="C68" s="45">
        <f>Download!D58</f>
        <v>500</v>
      </c>
      <c r="D68" s="42">
        <f>Download!H58</f>
        <v>969.5</v>
      </c>
      <c r="E68" s="252"/>
      <c r="F68" s="29">
        <f t="shared" si="2"/>
        <v>-0.939</v>
      </c>
      <c r="G68" s="36"/>
      <c r="H68" s="36">
        <v>969.5</v>
      </c>
      <c r="I68" s="253"/>
      <c r="J68" s="47">
        <f t="shared" si="0"/>
        <v>0</v>
      </c>
      <c r="K68" s="37">
        <f t="shared" si="1"/>
        <v>0</v>
      </c>
      <c r="L68" s="43">
        <f>IF(ISERROR(VLOOKUP(A68,'Workings Prior Month'!A:N,10,FALSE))=TRUE,0,(VLOOKUP(A68,'Workings Prior Month'!A:N,10,FALSE)))</f>
        <v>0</v>
      </c>
      <c r="M68" s="43">
        <f>IF(ISERROR(VLOOKUP(A68,'Workings Prior Month'!A:N,11,FALSE))=TRUE,0,(VLOOKUP(A68,'Workings Prior Month'!A:N,11,FALSE)))</f>
        <v>0</v>
      </c>
      <c r="N68" s="49">
        <f t="shared" si="8"/>
        <v>0</v>
      </c>
      <c r="O68" s="137">
        <f>IF(ISERROR(VLOOKUP(A68,'Cross ref Tab'!A:C,3,FALSE)=TRUE),9500,VLOOKUP(A68,'Cross ref Tab'!A:C,3,FALSE))</f>
        <v>1680</v>
      </c>
      <c r="P68" s="137">
        <f>IF(A68="","",COUNTIF('Cross ref Tab'!$A$3:$A$311,A68))</f>
        <v>1</v>
      </c>
      <c r="Q68" s="182">
        <f t="shared" si="3"/>
      </c>
      <c r="R68" s="5">
        <f t="shared" si="9"/>
        <v>500</v>
      </c>
      <c r="S68" s="149">
        <f t="shared" si="10"/>
        <v>500</v>
      </c>
      <c r="T68" s="149">
        <f t="shared" si="11"/>
        <v>0</v>
      </c>
      <c r="U68" s="150">
        <f t="shared" si="12"/>
        <v>0</v>
      </c>
      <c r="V68" s="5" t="e">
        <f>VLOOKUP(A68,#REF!,7,FALSE)-C68</f>
        <v>#REF!</v>
      </c>
      <c r="W68" s="5" t="e">
        <f>SUMIF(#REF!,A68,#REF!)-C68</f>
        <v>#REF!</v>
      </c>
      <c r="X68" s="5"/>
      <c r="Y68" s="5"/>
      <c r="Z68" s="5"/>
      <c r="AA68" s="5"/>
      <c r="AB68" s="5"/>
      <c r="AC68" s="5"/>
      <c r="AD68" s="5"/>
      <c r="AE68" s="5"/>
      <c r="AF68" s="5"/>
      <c r="AG68" s="5"/>
      <c r="AH68" s="5"/>
      <c r="AI68" s="5"/>
      <c r="AJ68" s="5"/>
      <c r="AK68" s="5"/>
    </row>
    <row r="69" spans="1:37" ht="15" customHeight="1">
      <c r="A69" s="70">
        <f>IF(Download!B59="","",Download!B59)</f>
        <v>331</v>
      </c>
      <c r="B69" s="70" t="str">
        <f>IF(Download!C59="","",Download!C59)</f>
        <v>STEM</v>
      </c>
      <c r="C69" s="45">
        <f>Download!D59</f>
        <v>850</v>
      </c>
      <c r="D69" s="42">
        <f>Download!H59</f>
        <v>418.26</v>
      </c>
      <c r="E69" s="252"/>
      <c r="F69" s="29">
        <f t="shared" si="2"/>
        <v>0.5079294117647059</v>
      </c>
      <c r="G69" s="36"/>
      <c r="H69" s="36">
        <v>418.26</v>
      </c>
      <c r="I69" s="253"/>
      <c r="J69" s="47">
        <f t="shared" si="0"/>
        <v>0</v>
      </c>
      <c r="K69" s="37">
        <f t="shared" si="1"/>
        <v>0</v>
      </c>
      <c r="L69" s="43">
        <f>IF(ISERROR(VLOOKUP(A69,'Workings Prior Month'!A:N,10,FALSE))=TRUE,0,(VLOOKUP(A69,'Workings Prior Month'!A:N,10,FALSE)))</f>
        <v>0</v>
      </c>
      <c r="M69" s="43">
        <f>IF(ISERROR(VLOOKUP(A69,'Workings Prior Month'!A:N,11,FALSE))=TRUE,0,(VLOOKUP(A69,'Workings Prior Month'!A:N,11,FALSE)))</f>
        <v>0</v>
      </c>
      <c r="N69" s="49">
        <f t="shared" si="8"/>
        <v>0</v>
      </c>
      <c r="O69" s="137">
        <f>IF(ISERROR(VLOOKUP(A69,'Cross ref Tab'!A:C,3,FALSE)=TRUE),9500,VLOOKUP(A69,'Cross ref Tab'!A:C,3,FALSE))</f>
        <v>1600</v>
      </c>
      <c r="P69" s="137">
        <f>IF(A69="","",COUNTIF('Cross ref Tab'!$A$3:$A$311,A69))</f>
        <v>1</v>
      </c>
      <c r="Q69" s="182">
        <f t="shared" si="3"/>
      </c>
      <c r="R69" s="5">
        <f t="shared" si="9"/>
        <v>850</v>
      </c>
      <c r="S69" s="149">
        <f t="shared" si="10"/>
        <v>850</v>
      </c>
      <c r="T69" s="149">
        <f t="shared" si="11"/>
        <v>0</v>
      </c>
      <c r="U69" s="150">
        <f t="shared" si="12"/>
        <v>0</v>
      </c>
      <c r="V69" s="5" t="e">
        <f>VLOOKUP(A69,#REF!,7,FALSE)-C69</f>
        <v>#REF!</v>
      </c>
      <c r="W69" s="5" t="e">
        <f>SUMIF(#REF!,A69,#REF!)-C69</f>
        <v>#REF!</v>
      </c>
      <c r="X69" s="5"/>
      <c r="Y69" s="5"/>
      <c r="Z69" s="5"/>
      <c r="AA69" s="5"/>
      <c r="AB69" s="5"/>
      <c r="AC69" s="5"/>
      <c r="AD69" s="5"/>
      <c r="AE69" s="5"/>
      <c r="AF69" s="5"/>
      <c r="AG69" s="5"/>
      <c r="AH69" s="5"/>
      <c r="AI69" s="5"/>
      <c r="AJ69" s="5"/>
      <c r="AK69" s="5"/>
    </row>
    <row r="70" spans="1:37" ht="15" customHeight="1">
      <c r="A70" s="70">
        <f>IF(Download!B60="","",Download!B60)</f>
        <v>332</v>
      </c>
      <c r="B70" s="70" t="str">
        <f>IF(Download!C60="","",Download!C60)</f>
        <v>Training for Staff</v>
      </c>
      <c r="C70" s="45">
        <f>Download!D60</f>
        <v>14000</v>
      </c>
      <c r="D70" s="42">
        <f>Download!H60</f>
        <v>6560.53</v>
      </c>
      <c r="E70" s="252"/>
      <c r="F70" s="29">
        <f t="shared" si="2"/>
        <v>0.5313907142857143</v>
      </c>
      <c r="G70" s="36"/>
      <c r="H70" s="36">
        <v>6560.53</v>
      </c>
      <c r="I70" s="253"/>
      <c r="J70" s="47">
        <f t="shared" si="0"/>
        <v>0</v>
      </c>
      <c r="K70" s="37">
        <f t="shared" si="1"/>
        <v>0</v>
      </c>
      <c r="L70" s="43">
        <f>IF(ISERROR(VLOOKUP(A70,'Workings Prior Month'!A:N,10,FALSE))=TRUE,0,(VLOOKUP(A70,'Workings Prior Month'!A:N,10,FALSE)))</f>
        <v>0</v>
      </c>
      <c r="M70" s="43">
        <f>IF(ISERROR(VLOOKUP(A70,'Workings Prior Month'!A:N,11,FALSE))=TRUE,0,(VLOOKUP(A70,'Workings Prior Month'!A:N,11,FALSE)))</f>
        <v>0</v>
      </c>
      <c r="N70" s="49">
        <f t="shared" si="8"/>
        <v>0</v>
      </c>
      <c r="O70" s="137">
        <f>IF(ISERROR(VLOOKUP(A70,'Cross ref Tab'!A:C,3,FALSE)=TRUE),9500,VLOOKUP(A70,'Cross ref Tab'!A:C,3,FALSE))</f>
        <v>2100</v>
      </c>
      <c r="P70" s="137">
        <f>IF(A70="","",COUNTIF('Cross ref Tab'!$A$3:$A$311,A70))</f>
        <v>1</v>
      </c>
      <c r="Q70" s="182">
        <f t="shared" si="3"/>
      </c>
      <c r="R70" s="5">
        <f t="shared" si="9"/>
        <v>14000</v>
      </c>
      <c r="S70" s="149">
        <f t="shared" si="10"/>
        <v>14000</v>
      </c>
      <c r="T70" s="149">
        <f t="shared" si="11"/>
        <v>0</v>
      </c>
      <c r="U70" s="150">
        <f t="shared" si="12"/>
        <v>0</v>
      </c>
      <c r="V70" s="5" t="e">
        <f>VLOOKUP(A70,#REF!,7,FALSE)-C70</f>
        <v>#REF!</v>
      </c>
      <c r="W70" s="5" t="e">
        <f>SUMIF(#REF!,A70,#REF!)-C70</f>
        <v>#REF!</v>
      </c>
      <c r="X70" s="5"/>
      <c r="Y70" s="5"/>
      <c r="Z70" s="5"/>
      <c r="AA70" s="5"/>
      <c r="AB70" s="5"/>
      <c r="AC70" s="5"/>
      <c r="AD70" s="5"/>
      <c r="AE70" s="5"/>
      <c r="AF70" s="5"/>
      <c r="AG70" s="5"/>
      <c r="AH70" s="5"/>
      <c r="AI70" s="5"/>
      <c r="AJ70" s="5"/>
      <c r="AK70" s="5"/>
    </row>
    <row r="71" spans="1:37" ht="15" customHeight="1">
      <c r="A71" s="70">
        <f>IF(Download!B61="","",Download!B61)</f>
        <v>333</v>
      </c>
      <c r="B71" s="70" t="str">
        <f>IF(Download!C61="","",Download!C61)</f>
        <v>Media Studies</v>
      </c>
      <c r="C71" s="45">
        <f>Download!D61</f>
        <v>700</v>
      </c>
      <c r="D71" s="42">
        <f>Download!H61</f>
        <v>313.65</v>
      </c>
      <c r="E71" s="252"/>
      <c r="F71" s="29">
        <f t="shared" si="2"/>
        <v>0.5519285714285714</v>
      </c>
      <c r="G71" s="36"/>
      <c r="H71" s="36">
        <v>313.65</v>
      </c>
      <c r="I71" s="253"/>
      <c r="J71" s="47">
        <f t="shared" si="0"/>
        <v>0</v>
      </c>
      <c r="K71" s="37">
        <f t="shared" si="1"/>
        <v>0</v>
      </c>
      <c r="L71" s="43">
        <f>IF(ISERROR(VLOOKUP(A71,'Workings Prior Month'!A:N,10,FALSE))=TRUE,0,(VLOOKUP(A71,'Workings Prior Month'!A:N,10,FALSE)))</f>
        <v>0</v>
      </c>
      <c r="M71" s="43">
        <f>IF(ISERROR(VLOOKUP(A71,'Workings Prior Month'!A:N,11,FALSE))=TRUE,0,(VLOOKUP(A71,'Workings Prior Month'!A:N,11,FALSE)))</f>
        <v>0</v>
      </c>
      <c r="N71" s="49">
        <f t="shared" si="8"/>
        <v>0</v>
      </c>
      <c r="O71" s="137">
        <f>IF(ISERROR(VLOOKUP(A71,'Cross ref Tab'!A:C,3,FALSE)=TRUE),9500,VLOOKUP(A71,'Cross ref Tab'!A:C,3,FALSE))</f>
        <v>1600</v>
      </c>
      <c r="P71" s="137">
        <f>IF(A71="","",COUNTIF('Cross ref Tab'!$A$3:$A$311,A71))</f>
        <v>1</v>
      </c>
      <c r="Q71" s="182">
        <f t="shared" si="3"/>
      </c>
      <c r="R71" s="5">
        <f t="shared" si="9"/>
        <v>700</v>
      </c>
      <c r="S71" s="149">
        <f t="shared" si="10"/>
        <v>700</v>
      </c>
      <c r="T71" s="149">
        <f t="shared" si="11"/>
        <v>0</v>
      </c>
      <c r="U71" s="150">
        <f t="shared" si="12"/>
        <v>0</v>
      </c>
      <c r="V71" s="5" t="e">
        <f>VLOOKUP(A71,#REF!,7,FALSE)-C71</f>
        <v>#REF!</v>
      </c>
      <c r="W71" s="5" t="e">
        <f>SUMIF(#REF!,A71,#REF!)-C71</f>
        <v>#REF!</v>
      </c>
      <c r="X71" s="5"/>
      <c r="Y71" s="5"/>
      <c r="Z71" s="5"/>
      <c r="AA71" s="5"/>
      <c r="AB71" s="5"/>
      <c r="AC71" s="5"/>
      <c r="AD71" s="5"/>
      <c r="AE71" s="5"/>
      <c r="AF71" s="5"/>
      <c r="AG71" s="5"/>
      <c r="AH71" s="5"/>
      <c r="AI71" s="5"/>
      <c r="AJ71" s="5"/>
      <c r="AK71" s="5"/>
    </row>
    <row r="72" spans="1:37" ht="15" customHeight="1">
      <c r="A72" s="70">
        <f>IF(Download!B62="","",Download!B62)</f>
        <v>335</v>
      </c>
      <c r="B72" s="70" t="str">
        <f>IF(Download!C62="","",Download!C62)</f>
        <v>Engineering</v>
      </c>
      <c r="C72" s="45">
        <f>Download!D62</f>
        <v>1200</v>
      </c>
      <c r="D72" s="42">
        <f>Download!H62</f>
        <v>1048.47</v>
      </c>
      <c r="E72" s="252"/>
      <c r="F72" s="29">
        <f t="shared" si="2"/>
        <v>0.12627499999999997</v>
      </c>
      <c r="G72" s="36"/>
      <c r="H72" s="36">
        <v>1048.47</v>
      </c>
      <c r="I72" s="253"/>
      <c r="J72" s="47">
        <f t="shared" si="0"/>
        <v>0</v>
      </c>
      <c r="K72" s="37">
        <f t="shared" si="1"/>
        <v>0</v>
      </c>
      <c r="L72" s="43">
        <f>IF(ISERROR(VLOOKUP(A72,'Workings Prior Month'!A:N,10,FALSE))=TRUE,0,(VLOOKUP(A72,'Workings Prior Month'!A:N,10,FALSE)))</f>
        <v>0</v>
      </c>
      <c r="M72" s="43">
        <f>IF(ISERROR(VLOOKUP(A72,'Workings Prior Month'!A:N,11,FALSE))=TRUE,0,(VLOOKUP(A72,'Workings Prior Month'!A:N,11,FALSE)))</f>
        <v>0</v>
      </c>
      <c r="N72" s="49">
        <f t="shared" si="8"/>
        <v>0</v>
      </c>
      <c r="O72" s="137">
        <f>IF(ISERROR(VLOOKUP(A72,'Cross ref Tab'!A:C,3,FALSE)=TRUE),9500,VLOOKUP(A72,'Cross ref Tab'!A:C,3,FALSE))</f>
        <v>1600</v>
      </c>
      <c r="P72" s="137">
        <f>IF(A72="","",COUNTIF('Cross ref Tab'!$A$3:$A$311,A72))</f>
        <v>1</v>
      </c>
      <c r="Q72" s="182">
        <f t="shared" si="3"/>
      </c>
      <c r="R72" s="5">
        <f t="shared" si="9"/>
        <v>1200</v>
      </c>
      <c r="S72" s="149">
        <f t="shared" si="10"/>
        <v>1200</v>
      </c>
      <c r="T72" s="149">
        <f t="shared" si="11"/>
        <v>0</v>
      </c>
      <c r="U72" s="150">
        <f t="shared" si="12"/>
        <v>0</v>
      </c>
      <c r="V72" s="5" t="e">
        <f>VLOOKUP(A72,#REF!,7,FALSE)-C72</f>
        <v>#REF!</v>
      </c>
      <c r="W72" s="5" t="e">
        <f>SUMIF(#REF!,A72,#REF!)-C72</f>
        <v>#REF!</v>
      </c>
      <c r="X72" s="5"/>
      <c r="Y72" s="5"/>
      <c r="Z72" s="5"/>
      <c r="AA72" s="5"/>
      <c r="AB72" s="5"/>
      <c r="AC72" s="5"/>
      <c r="AD72" s="5"/>
      <c r="AE72" s="5"/>
      <c r="AF72" s="5"/>
      <c r="AG72" s="5"/>
      <c r="AH72" s="5"/>
      <c r="AI72" s="5"/>
      <c r="AJ72" s="5"/>
      <c r="AK72" s="5"/>
    </row>
    <row r="73" spans="1:37" ht="15" customHeight="1">
      <c r="A73" s="70">
        <f>IF(Download!B63="","",Download!B63)</f>
        <v>336</v>
      </c>
      <c r="B73" s="70" t="str">
        <f>IF(Download!C63="","",Download!C63)</f>
        <v>Vocational Animals</v>
      </c>
      <c r="C73" s="45">
        <f>Download!D63</f>
        <v>650</v>
      </c>
      <c r="D73" s="42">
        <f>Download!H63</f>
        <v>469.01</v>
      </c>
      <c r="E73" s="252"/>
      <c r="F73" s="29">
        <f t="shared" si="2"/>
        <v>0.27844615384615384</v>
      </c>
      <c r="G73" s="36"/>
      <c r="H73" s="36">
        <v>469.01</v>
      </c>
      <c r="I73" s="253"/>
      <c r="J73" s="47">
        <f t="shared" si="0"/>
        <v>0</v>
      </c>
      <c r="K73" s="37">
        <f t="shared" si="1"/>
        <v>0</v>
      </c>
      <c r="L73" s="43">
        <f>IF(ISERROR(VLOOKUP(A73,'Workings Prior Month'!A:N,10,FALSE))=TRUE,0,(VLOOKUP(A73,'Workings Prior Month'!A:N,10,FALSE)))</f>
        <v>0</v>
      </c>
      <c r="M73" s="43">
        <f>IF(ISERROR(VLOOKUP(A73,'Workings Prior Month'!A:N,11,FALSE))=TRUE,0,(VLOOKUP(A73,'Workings Prior Month'!A:N,11,FALSE)))</f>
        <v>0</v>
      </c>
      <c r="N73" s="49">
        <f t="shared" si="8"/>
        <v>0</v>
      </c>
      <c r="O73" s="137">
        <f>IF(ISERROR(VLOOKUP(A73,'Cross ref Tab'!A:C,3,FALSE)=TRUE),9500,VLOOKUP(A73,'Cross ref Tab'!A:C,3,FALSE))</f>
        <v>1600</v>
      </c>
      <c r="P73" s="137">
        <f>IF(A73="","",COUNTIF('Cross ref Tab'!$A$3:$A$311,A73))</f>
        <v>1</v>
      </c>
      <c r="Q73" s="182">
        <f t="shared" si="3"/>
      </c>
      <c r="R73" s="5">
        <f t="shared" si="9"/>
        <v>650</v>
      </c>
      <c r="S73" s="149">
        <f t="shared" si="10"/>
        <v>650</v>
      </c>
      <c r="T73" s="149">
        <f t="shared" si="11"/>
        <v>0</v>
      </c>
      <c r="U73" s="150">
        <f t="shared" si="12"/>
        <v>0</v>
      </c>
      <c r="V73" s="5" t="e">
        <f>VLOOKUP(A73,#REF!,7,FALSE)-C73</f>
        <v>#REF!</v>
      </c>
      <c r="W73" s="5" t="e">
        <f>SUMIF(#REF!,A73,#REF!)-C73</f>
        <v>#REF!</v>
      </c>
      <c r="X73" s="5"/>
      <c r="Y73" s="5"/>
      <c r="Z73" s="5"/>
      <c r="AA73" s="5"/>
      <c r="AB73" s="5"/>
      <c r="AC73" s="5"/>
      <c r="AD73" s="5"/>
      <c r="AE73" s="5"/>
      <c r="AF73" s="5"/>
      <c r="AG73" s="5"/>
      <c r="AH73" s="5"/>
      <c r="AI73" s="5"/>
      <c r="AJ73" s="5"/>
      <c r="AK73" s="5"/>
    </row>
    <row r="74" spans="1:37" ht="15" customHeight="1">
      <c r="A74" s="70">
        <f>IF(Download!B64="","",Download!B64)</f>
        <v>337</v>
      </c>
      <c r="B74" s="70" t="str">
        <f>IF(Download!C64="","",Download!C64)</f>
        <v>KS3 Pre-Vocational</v>
      </c>
      <c r="C74" s="45">
        <f>Download!D64</f>
        <v>1233</v>
      </c>
      <c r="D74" s="42">
        <f>Download!H64</f>
        <v>322.27</v>
      </c>
      <c r="E74" s="252"/>
      <c r="F74" s="29">
        <f t="shared" si="2"/>
        <v>0.7386293592862936</v>
      </c>
      <c r="G74" s="36"/>
      <c r="H74" s="36">
        <v>322.27</v>
      </c>
      <c r="I74" s="253"/>
      <c r="J74" s="47">
        <f t="shared" si="0"/>
        <v>0</v>
      </c>
      <c r="K74" s="37">
        <f t="shared" si="1"/>
        <v>0</v>
      </c>
      <c r="L74" s="43">
        <f>IF(ISERROR(VLOOKUP(A74,'Workings Prior Month'!A:N,10,FALSE))=TRUE,0,(VLOOKUP(A74,'Workings Prior Month'!A:N,10,FALSE)))</f>
        <v>0</v>
      </c>
      <c r="M74" s="43">
        <f>IF(ISERROR(VLOOKUP(A74,'Workings Prior Month'!A:N,11,FALSE))=TRUE,0,(VLOOKUP(A74,'Workings Prior Month'!A:N,11,FALSE)))</f>
        <v>0</v>
      </c>
      <c r="N74" s="49">
        <f t="shared" si="8"/>
        <v>0</v>
      </c>
      <c r="O74" s="137">
        <f>IF(ISERROR(VLOOKUP(A74,'Cross ref Tab'!A:C,3,FALSE)=TRUE),9500,VLOOKUP(A74,'Cross ref Tab'!A:C,3,FALSE))</f>
        <v>1600</v>
      </c>
      <c r="P74" s="137">
        <f>IF(A74="","",COUNTIF('Cross ref Tab'!$A$3:$A$311,A74))</f>
        <v>1</v>
      </c>
      <c r="Q74" s="182">
        <f t="shared" si="3"/>
      </c>
      <c r="R74" s="5">
        <f t="shared" si="9"/>
        <v>1233</v>
      </c>
      <c r="S74" s="149">
        <f t="shared" si="10"/>
        <v>1233</v>
      </c>
      <c r="T74" s="149">
        <f t="shared" si="11"/>
        <v>0</v>
      </c>
      <c r="U74" s="150">
        <f t="shared" si="12"/>
        <v>0</v>
      </c>
      <c r="V74" s="5" t="e">
        <f>VLOOKUP(A74,#REF!,7,FALSE)-C74</f>
        <v>#REF!</v>
      </c>
      <c r="W74" s="5" t="e">
        <f>SUMIF(#REF!,A74,#REF!)-C74</f>
        <v>#REF!</v>
      </c>
      <c r="X74" s="5"/>
      <c r="Y74" s="5"/>
      <c r="Z74" s="5"/>
      <c r="AA74" s="5"/>
      <c r="AB74" s="5"/>
      <c r="AC74" s="5"/>
      <c r="AD74" s="5"/>
      <c r="AE74" s="5"/>
      <c r="AF74" s="5"/>
      <c r="AG74" s="5"/>
      <c r="AH74" s="5"/>
      <c r="AI74" s="5"/>
      <c r="AJ74" s="5"/>
      <c r="AK74" s="5"/>
    </row>
    <row r="75" spans="1:37" ht="15" customHeight="1">
      <c r="A75" s="70">
        <f>IF(Download!B65="","",Download!B65)</f>
        <v>338</v>
      </c>
      <c r="B75" s="70" t="str">
        <f>IF(Download!C65="","",Download!C65)</f>
        <v>Tutorial</v>
      </c>
      <c r="C75" s="45">
        <f>Download!D65</f>
        <v>2000</v>
      </c>
      <c r="D75" s="42">
        <f>Download!H65</f>
        <v>2025</v>
      </c>
      <c r="E75" s="252"/>
      <c r="F75" s="29">
        <f t="shared" si="2"/>
        <v>-0.0125</v>
      </c>
      <c r="G75" s="36"/>
      <c r="H75" s="36">
        <v>2025</v>
      </c>
      <c r="I75" s="253"/>
      <c r="J75" s="47">
        <f aca="true" t="shared" si="13" ref="J75:J138">IF(D75+G75-H75&gt;0,D75+G75-H75,0)</f>
        <v>0</v>
      </c>
      <c r="K75" s="37">
        <f aca="true" t="shared" si="14" ref="K75:K138">IF(D75+G75-H75&lt;=0,-D75-G75+H75,0)</f>
        <v>0</v>
      </c>
      <c r="L75" s="43">
        <f>IF(ISERROR(VLOOKUP(A75,'Workings Prior Month'!A:N,10,FALSE))=TRUE,0,(VLOOKUP(A75,'Workings Prior Month'!A:N,10,FALSE)))</f>
        <v>0</v>
      </c>
      <c r="M75" s="43">
        <f>IF(ISERROR(VLOOKUP(A75,'Workings Prior Month'!A:N,11,FALSE))=TRUE,0,(VLOOKUP(A75,'Workings Prior Month'!A:N,11,FALSE)))</f>
        <v>0</v>
      </c>
      <c r="N75" s="49">
        <f t="shared" si="8"/>
        <v>0</v>
      </c>
      <c r="O75" s="137">
        <f>IF(ISERROR(VLOOKUP(A75,'Cross ref Tab'!A:C,3,FALSE)=TRUE),9500,VLOOKUP(A75,'Cross ref Tab'!A:C,3,FALSE))</f>
        <v>1600</v>
      </c>
      <c r="P75" s="137">
        <f>IF(A75="","",COUNTIF('Cross ref Tab'!$A$3:$A$311,A75))</f>
        <v>1</v>
      </c>
      <c r="Q75" s="182">
        <f t="shared" si="3"/>
      </c>
      <c r="R75" s="5">
        <f t="shared" si="9"/>
        <v>2000</v>
      </c>
      <c r="S75" s="149">
        <f t="shared" si="10"/>
        <v>2000</v>
      </c>
      <c r="T75" s="149">
        <f t="shared" si="11"/>
        <v>0</v>
      </c>
      <c r="U75" s="150">
        <f t="shared" si="12"/>
        <v>0</v>
      </c>
      <c r="V75" s="5" t="e">
        <f>VLOOKUP(A75,#REF!,7,FALSE)-C75</f>
        <v>#REF!</v>
      </c>
      <c r="W75" s="5" t="e">
        <f>SUMIF(#REF!,A75,#REF!)-C75</f>
        <v>#REF!</v>
      </c>
      <c r="X75" s="5"/>
      <c r="Y75" s="5"/>
      <c r="Z75" s="5"/>
      <c r="AA75" s="5"/>
      <c r="AB75" s="5"/>
      <c r="AC75" s="5"/>
      <c r="AD75" s="5"/>
      <c r="AE75" s="5"/>
      <c r="AF75" s="5"/>
      <c r="AG75" s="5"/>
      <c r="AH75" s="5"/>
      <c r="AI75" s="5"/>
      <c r="AJ75" s="5"/>
      <c r="AK75" s="5"/>
    </row>
    <row r="76" spans="1:37" ht="15" customHeight="1">
      <c r="A76" s="70">
        <f>IF(Download!B66="","",Download!B66)</f>
        <v>340</v>
      </c>
      <c r="B76" s="70" t="str">
        <f>IF(Download!C66="","",Download!C66)</f>
        <v>Pastoral/JCookson</v>
      </c>
      <c r="C76" s="45">
        <f>Download!D66</f>
        <v>4194</v>
      </c>
      <c r="D76" s="42">
        <f>Download!H66</f>
        <v>2977.14</v>
      </c>
      <c r="E76" s="252"/>
      <c r="F76" s="29">
        <f aca="true" t="shared" si="15" ref="F76:F139">IF(C76=0,"-",(C76-D76)/C76)</f>
        <v>0.2901430615164521</v>
      </c>
      <c r="G76" s="36"/>
      <c r="H76" s="36">
        <v>2977.14</v>
      </c>
      <c r="I76" s="36"/>
      <c r="J76" s="47">
        <f t="shared" si="13"/>
        <v>0</v>
      </c>
      <c r="K76" s="37">
        <f t="shared" si="14"/>
        <v>0</v>
      </c>
      <c r="L76" s="43">
        <f>IF(ISERROR(VLOOKUP(A76,'Workings Prior Month'!A:N,10,FALSE))=TRUE,0,(VLOOKUP(A76,'Workings Prior Month'!A:N,10,FALSE)))</f>
        <v>0</v>
      </c>
      <c r="M76" s="43">
        <f>IF(ISERROR(VLOOKUP(A76,'Workings Prior Month'!A:N,11,FALSE))=TRUE,0,(VLOOKUP(A76,'Workings Prior Month'!A:N,11,FALSE)))</f>
        <v>0</v>
      </c>
      <c r="N76" s="49">
        <f t="shared" si="8"/>
        <v>0</v>
      </c>
      <c r="O76" s="137">
        <f>IF(ISERROR(VLOOKUP(A76,'Cross ref Tab'!A:C,3,FALSE)=TRUE),9500,VLOOKUP(A76,'Cross ref Tab'!A:C,3,FALSE))</f>
        <v>1630</v>
      </c>
      <c r="P76" s="137">
        <f>IF(A76="","",COUNTIF('Cross ref Tab'!$A$3:$A$311,A76))</f>
        <v>1</v>
      </c>
      <c r="Q76" s="182">
        <f aca="true" t="shared" si="16" ref="Q76:Q139">IF(O76=9500,+" XREF Code Required","")</f>
      </c>
      <c r="R76" s="5">
        <f t="shared" si="9"/>
        <v>4194</v>
      </c>
      <c r="S76" s="149">
        <f t="shared" si="10"/>
        <v>4194</v>
      </c>
      <c r="T76" s="149">
        <f t="shared" si="11"/>
        <v>0</v>
      </c>
      <c r="U76" s="150">
        <f t="shared" si="12"/>
        <v>0</v>
      </c>
      <c r="V76" s="5" t="e">
        <f>VLOOKUP(A76,#REF!,7,FALSE)-C76</f>
        <v>#REF!</v>
      </c>
      <c r="W76" s="5" t="e">
        <f>SUMIF(#REF!,A76,#REF!)-C76</f>
        <v>#REF!</v>
      </c>
      <c r="X76" s="5"/>
      <c r="Y76" s="5"/>
      <c r="Z76" s="5"/>
      <c r="AA76" s="5"/>
      <c r="AB76" s="5"/>
      <c r="AC76" s="5"/>
      <c r="AD76" s="5"/>
      <c r="AE76" s="5"/>
      <c r="AF76" s="5"/>
      <c r="AG76" s="5"/>
      <c r="AH76" s="5"/>
      <c r="AI76" s="5"/>
      <c r="AJ76" s="5"/>
      <c r="AK76" s="5"/>
    </row>
    <row r="77" spans="1:37" ht="15" customHeight="1">
      <c r="A77" s="70">
        <f>IF(Download!B67="","",Download!B67)</f>
        <v>341</v>
      </c>
      <c r="B77" s="70" t="str">
        <f>IF(Download!C67="","",Download!C67)</f>
        <v>Pastoral/ JIComerford</v>
      </c>
      <c r="C77" s="45">
        <f>Download!D67</f>
        <v>3400</v>
      </c>
      <c r="D77" s="42">
        <f>Download!H67</f>
        <v>2359.48</v>
      </c>
      <c r="E77" s="252"/>
      <c r="F77" s="29">
        <f t="shared" si="15"/>
        <v>0.30603529411764707</v>
      </c>
      <c r="G77" s="36"/>
      <c r="H77" s="36">
        <v>2359.48</v>
      </c>
      <c r="I77" s="253"/>
      <c r="J77" s="47">
        <f t="shared" si="13"/>
        <v>0</v>
      </c>
      <c r="K77" s="37">
        <f t="shared" si="14"/>
        <v>0</v>
      </c>
      <c r="L77" s="43">
        <f>IF(ISERROR(VLOOKUP(A77,'Workings Prior Month'!A:N,10,FALSE))=TRUE,0,(VLOOKUP(A77,'Workings Prior Month'!A:N,10,FALSE)))</f>
        <v>0</v>
      </c>
      <c r="M77" s="43">
        <f>IF(ISERROR(VLOOKUP(A77,'Workings Prior Month'!A:N,11,FALSE))=TRUE,0,(VLOOKUP(A77,'Workings Prior Month'!A:N,11,FALSE)))</f>
        <v>0</v>
      </c>
      <c r="N77" s="49">
        <f aca="true" t="shared" si="17" ref="N77:N140">M77-L77-K77+J77</f>
        <v>0</v>
      </c>
      <c r="O77" s="137">
        <f>IF(ISERROR(VLOOKUP(A77,'Cross ref Tab'!A:C,3,FALSE)=TRUE),9500,VLOOKUP(A77,'Cross ref Tab'!A:C,3,FALSE))</f>
        <v>1630</v>
      </c>
      <c r="P77" s="137">
        <f>IF(A77="","",COUNTIF('Cross ref Tab'!$A$3:$A$311,A77))</f>
        <v>1</v>
      </c>
      <c r="Q77" s="182">
        <f t="shared" si="16"/>
      </c>
      <c r="R77" s="5">
        <f t="shared" si="9"/>
        <v>3400</v>
      </c>
      <c r="S77" s="149">
        <f t="shared" si="10"/>
        <v>3400</v>
      </c>
      <c r="T77" s="149">
        <f t="shared" si="11"/>
        <v>0</v>
      </c>
      <c r="U77" s="150">
        <f t="shared" si="12"/>
        <v>0</v>
      </c>
      <c r="V77" s="5" t="e">
        <f>VLOOKUP(A77,#REF!,7,FALSE)-C77</f>
        <v>#REF!</v>
      </c>
      <c r="W77" s="5" t="e">
        <f>SUMIF(#REF!,A77,#REF!)-C77</f>
        <v>#REF!</v>
      </c>
      <c r="X77" s="5"/>
      <c r="Y77" s="5"/>
      <c r="Z77" s="5"/>
      <c r="AA77" s="5"/>
      <c r="AB77" s="5"/>
      <c r="AC77" s="5"/>
      <c r="AD77" s="5"/>
      <c r="AE77" s="5"/>
      <c r="AF77" s="5"/>
      <c r="AG77" s="5"/>
      <c r="AH77" s="5"/>
      <c r="AI77" s="5"/>
      <c r="AJ77" s="5"/>
      <c r="AK77" s="5"/>
    </row>
    <row r="78" spans="1:37" ht="15" customHeight="1">
      <c r="A78" s="70">
        <f>IF(Download!B68="","",Download!B68)</f>
        <v>342</v>
      </c>
      <c r="B78" s="70" t="str">
        <f>IF(Download!C68="","",Download!C68)</f>
        <v>Pastoral-Sixth Fm-Raised Money</v>
      </c>
      <c r="C78" s="45">
        <f>Download!D68</f>
        <v>0</v>
      </c>
      <c r="D78" s="42">
        <f>Download!H68</f>
        <v>0</v>
      </c>
      <c r="E78" s="252"/>
      <c r="F78" s="29" t="str">
        <f t="shared" si="15"/>
        <v>-</v>
      </c>
      <c r="G78" s="36"/>
      <c r="H78" s="36"/>
      <c r="I78" s="253"/>
      <c r="J78" s="47">
        <f t="shared" si="13"/>
        <v>0</v>
      </c>
      <c r="K78" s="37">
        <f t="shared" si="14"/>
        <v>0</v>
      </c>
      <c r="L78" s="43">
        <f>IF(ISERROR(VLOOKUP(A78,'Workings Prior Month'!A:N,10,FALSE))=TRUE,0,(VLOOKUP(A78,'Workings Prior Month'!A:N,10,FALSE)))</f>
        <v>0</v>
      </c>
      <c r="M78" s="43">
        <f>IF(ISERROR(VLOOKUP(A78,'Workings Prior Month'!A:N,11,FALSE))=TRUE,0,(VLOOKUP(A78,'Workings Prior Month'!A:N,11,FALSE)))</f>
        <v>0</v>
      </c>
      <c r="N78" s="49">
        <f t="shared" si="17"/>
        <v>0</v>
      </c>
      <c r="O78" s="137">
        <f>IF(ISERROR(VLOOKUP(A78,'Cross ref Tab'!A:C,3,FALSE)=TRUE),9500,VLOOKUP(A78,'Cross ref Tab'!A:C,3,FALSE))</f>
        <v>1630</v>
      </c>
      <c r="P78" s="137">
        <f>IF(A78="","",COUNTIF('Cross ref Tab'!$A$3:$A$311,A78))</f>
        <v>1</v>
      </c>
      <c r="Q78" s="182">
        <f t="shared" si="16"/>
      </c>
      <c r="R78" s="5">
        <f t="shared" si="9"/>
        <v>0</v>
      </c>
      <c r="S78" s="149">
        <f t="shared" si="10"/>
        <v>0</v>
      </c>
      <c r="T78" s="149">
        <f t="shared" si="11"/>
        <v>0</v>
      </c>
      <c r="U78" s="150">
        <f t="shared" si="12"/>
        <v>0</v>
      </c>
      <c r="V78" s="5" t="e">
        <f>VLOOKUP(A78,#REF!,7,FALSE)-C78</f>
        <v>#REF!</v>
      </c>
      <c r="W78" s="5" t="e">
        <f>SUMIF(#REF!,A78,#REF!)-C78</f>
        <v>#REF!</v>
      </c>
      <c r="X78" s="5"/>
      <c r="Y78" s="5"/>
      <c r="Z78" s="5"/>
      <c r="AA78" s="5"/>
      <c r="AB78" s="5"/>
      <c r="AC78" s="5"/>
      <c r="AD78" s="5"/>
      <c r="AE78" s="5"/>
      <c r="AF78" s="5"/>
      <c r="AG78" s="5"/>
      <c r="AH78" s="5"/>
      <c r="AI78" s="5"/>
      <c r="AJ78" s="5"/>
      <c r="AK78" s="5"/>
    </row>
    <row r="79" spans="1:37" ht="15" customHeight="1">
      <c r="A79" s="70">
        <f>IF(Download!B69="","",Download!B69)</f>
        <v>344</v>
      </c>
      <c r="B79" s="70" t="str">
        <f>IF(Download!C69="","",Download!C69)</f>
        <v>Primary Liaison</v>
      </c>
      <c r="C79" s="45">
        <f>Download!D69</f>
        <v>250</v>
      </c>
      <c r="D79" s="42">
        <f>Download!H69</f>
        <v>250</v>
      </c>
      <c r="E79" s="252"/>
      <c r="F79" s="29">
        <f t="shared" si="15"/>
        <v>0</v>
      </c>
      <c r="G79" s="36"/>
      <c r="H79" s="36">
        <v>250</v>
      </c>
      <c r="I79" s="253"/>
      <c r="J79" s="47">
        <f t="shared" si="13"/>
        <v>0</v>
      </c>
      <c r="K79" s="37">
        <f t="shared" si="14"/>
        <v>0</v>
      </c>
      <c r="L79" s="43">
        <f>IF(ISERROR(VLOOKUP(A79,'Workings Prior Month'!A:N,10,FALSE))=TRUE,0,(VLOOKUP(A79,'Workings Prior Month'!A:N,10,FALSE)))</f>
        <v>0</v>
      </c>
      <c r="M79" s="43">
        <f>IF(ISERROR(VLOOKUP(A79,'Workings Prior Month'!A:N,11,FALSE))=TRUE,0,(VLOOKUP(A79,'Workings Prior Month'!A:N,11,FALSE)))</f>
        <v>0</v>
      </c>
      <c r="N79" s="49">
        <f t="shared" si="17"/>
        <v>0</v>
      </c>
      <c r="O79" s="137">
        <f>IF(ISERROR(VLOOKUP(A79,'Cross ref Tab'!A:C,3,FALSE)=TRUE),9500,VLOOKUP(A79,'Cross ref Tab'!A:C,3,FALSE))</f>
        <v>1630</v>
      </c>
      <c r="P79" s="137">
        <f>IF(A79="","",COUNTIF('Cross ref Tab'!$A$3:$A$311,A79))</f>
        <v>1</v>
      </c>
      <c r="Q79" s="182">
        <f t="shared" si="16"/>
      </c>
      <c r="R79" s="5">
        <f t="shared" si="9"/>
        <v>250</v>
      </c>
      <c r="S79" s="149">
        <f t="shared" si="10"/>
        <v>250</v>
      </c>
      <c r="T79" s="149">
        <f t="shared" si="11"/>
        <v>0</v>
      </c>
      <c r="U79" s="150">
        <f t="shared" si="12"/>
        <v>0</v>
      </c>
      <c r="V79" s="5" t="e">
        <f>VLOOKUP(A79,#REF!,7,FALSE)-C79</f>
        <v>#REF!</v>
      </c>
      <c r="W79" s="5" t="e">
        <f>SUMIF(#REF!,A79,#REF!)-C79</f>
        <v>#REF!</v>
      </c>
      <c r="X79" s="5"/>
      <c r="Y79" s="5"/>
      <c r="Z79" s="5"/>
      <c r="AA79" s="5"/>
      <c r="AB79" s="5"/>
      <c r="AC79" s="5"/>
      <c r="AD79" s="5"/>
      <c r="AE79" s="5"/>
      <c r="AF79" s="5"/>
      <c r="AG79" s="5"/>
      <c r="AH79" s="5"/>
      <c r="AI79" s="5"/>
      <c r="AJ79" s="5"/>
      <c r="AK79" s="5"/>
    </row>
    <row r="80" spans="1:37" ht="15" customHeight="1">
      <c r="A80" s="70">
        <f>IF(Download!B70="","",Download!B70)</f>
        <v>346</v>
      </c>
      <c r="B80" s="70" t="str">
        <f>IF(Download!C70="","",Download!C70)</f>
        <v>Pastoral -Sixth Form</v>
      </c>
      <c r="C80" s="45">
        <f>Download!D70</f>
        <v>800</v>
      </c>
      <c r="D80" s="42">
        <f>Download!H70</f>
        <v>118.46</v>
      </c>
      <c r="E80" s="252"/>
      <c r="F80" s="29">
        <f t="shared" si="15"/>
        <v>0.8519249999999999</v>
      </c>
      <c r="G80" s="36"/>
      <c r="H80" s="36">
        <v>118.46</v>
      </c>
      <c r="I80" s="253"/>
      <c r="J80" s="47">
        <f t="shared" si="13"/>
        <v>0</v>
      </c>
      <c r="K80" s="37">
        <f t="shared" si="14"/>
        <v>0</v>
      </c>
      <c r="L80" s="43">
        <f>IF(ISERROR(VLOOKUP(A80,'Workings Prior Month'!A:N,10,FALSE))=TRUE,0,(VLOOKUP(A80,'Workings Prior Month'!A:N,10,FALSE)))</f>
        <v>0</v>
      </c>
      <c r="M80" s="43">
        <f>IF(ISERROR(VLOOKUP(A80,'Workings Prior Month'!A:N,11,FALSE))=TRUE,0,(VLOOKUP(A80,'Workings Prior Month'!A:N,11,FALSE)))</f>
        <v>0</v>
      </c>
      <c r="N80" s="49">
        <f t="shared" si="17"/>
        <v>0</v>
      </c>
      <c r="O80" s="137">
        <f>IF(ISERROR(VLOOKUP(A80,'Cross ref Tab'!A:C,3,FALSE)=TRUE),9500,VLOOKUP(A80,'Cross ref Tab'!A:C,3,FALSE))</f>
        <v>1630</v>
      </c>
      <c r="P80" s="137">
        <f>IF(A80="","",COUNTIF('Cross ref Tab'!$A$3:$A$311,A80))</f>
        <v>1</v>
      </c>
      <c r="Q80" s="182">
        <f t="shared" si="16"/>
      </c>
      <c r="R80" s="5">
        <f t="shared" si="9"/>
        <v>800</v>
      </c>
      <c r="S80" s="149">
        <f t="shared" si="10"/>
        <v>800</v>
      </c>
      <c r="T80" s="149">
        <f t="shared" si="11"/>
        <v>0</v>
      </c>
      <c r="U80" s="150">
        <f t="shared" si="12"/>
        <v>0</v>
      </c>
      <c r="V80" s="5" t="e">
        <f>VLOOKUP(A80,#REF!,7,FALSE)-C80</f>
        <v>#REF!</v>
      </c>
      <c r="W80" s="5" t="e">
        <f>SUMIF(#REF!,A80,#REF!)-C80</f>
        <v>#REF!</v>
      </c>
      <c r="X80" s="5"/>
      <c r="Y80" s="5"/>
      <c r="Z80" s="5"/>
      <c r="AA80" s="5"/>
      <c r="AB80" s="5"/>
      <c r="AC80" s="5"/>
      <c r="AD80" s="5"/>
      <c r="AE80" s="5"/>
      <c r="AF80" s="5"/>
      <c r="AG80" s="5"/>
      <c r="AH80" s="5"/>
      <c r="AI80" s="5"/>
      <c r="AJ80" s="5"/>
      <c r="AK80" s="5"/>
    </row>
    <row r="81" spans="1:37" ht="15" customHeight="1">
      <c r="A81" s="70">
        <f>IF(Download!B71="","",Download!B71)</f>
        <v>348</v>
      </c>
      <c r="B81" s="70" t="str">
        <f>IF(Download!C71="","",Download!C71)</f>
        <v>BWD Delivery Group</v>
      </c>
      <c r="C81" s="45">
        <f>Download!D71</f>
        <v>10750</v>
      </c>
      <c r="D81" s="42">
        <f>Download!H71</f>
        <v>-345</v>
      </c>
      <c r="E81" s="252"/>
      <c r="F81" s="29">
        <f t="shared" si="15"/>
        <v>1.0320930232558139</v>
      </c>
      <c r="G81" s="36"/>
      <c r="H81" s="36"/>
      <c r="I81" s="253"/>
      <c r="J81" s="47">
        <f t="shared" si="13"/>
        <v>0</v>
      </c>
      <c r="K81" s="37">
        <f t="shared" si="14"/>
        <v>345</v>
      </c>
      <c r="L81" s="43">
        <f>IF(ISERROR(VLOOKUP(A81,'Workings Prior Month'!A:N,10,FALSE))=TRUE,0,(VLOOKUP(A81,'Workings Prior Month'!A:N,10,FALSE)))</f>
        <v>0</v>
      </c>
      <c r="M81" s="43">
        <f>IF(ISERROR(VLOOKUP(A81,'Workings Prior Month'!A:N,11,FALSE))=TRUE,0,(VLOOKUP(A81,'Workings Prior Month'!A:N,11,FALSE)))</f>
        <v>345</v>
      </c>
      <c r="N81" s="49">
        <f t="shared" si="17"/>
        <v>0</v>
      </c>
      <c r="O81" s="137">
        <f>IF(ISERROR(VLOOKUP(A81,'Cross ref Tab'!A:C,3,FALSE)=TRUE),9500,VLOOKUP(A81,'Cross ref Tab'!A:C,3,FALSE))</f>
        <v>1670</v>
      </c>
      <c r="P81" s="137">
        <f>IF(A81="","",COUNTIF('Cross ref Tab'!$A$3:$A$311,A81))</f>
        <v>1</v>
      </c>
      <c r="Q81" s="182">
        <f t="shared" si="16"/>
      </c>
      <c r="R81" s="5">
        <f t="shared" si="9"/>
        <v>10750</v>
      </c>
      <c r="S81" s="149">
        <f t="shared" si="10"/>
        <v>11095</v>
      </c>
      <c r="T81" s="149">
        <f t="shared" si="11"/>
        <v>-345</v>
      </c>
      <c r="U81" s="150">
        <f t="shared" si="12"/>
        <v>-345</v>
      </c>
      <c r="V81" s="5" t="e">
        <f>VLOOKUP(A81,#REF!,7,FALSE)-C81</f>
        <v>#REF!</v>
      </c>
      <c r="W81" s="5" t="e">
        <f>SUMIF(#REF!,A81,#REF!)-C81</f>
        <v>#REF!</v>
      </c>
      <c r="X81" s="5"/>
      <c r="Y81" s="5"/>
      <c r="Z81" s="5"/>
      <c r="AA81" s="5"/>
      <c r="AB81" s="5"/>
      <c r="AC81" s="5"/>
      <c r="AD81" s="5"/>
      <c r="AE81" s="5"/>
      <c r="AF81" s="5"/>
      <c r="AG81" s="5"/>
      <c r="AH81" s="5"/>
      <c r="AI81" s="5"/>
      <c r="AJ81" s="5"/>
      <c r="AK81" s="5"/>
    </row>
    <row r="82" spans="1:37" ht="15" customHeight="1">
      <c r="A82" s="70">
        <f>IF(Download!B72="","",Download!B72)</f>
        <v>349</v>
      </c>
      <c r="B82" s="70" t="str">
        <f>IF(Download!C72="","",Download!C72)</f>
        <v>Student Council</v>
      </c>
      <c r="C82" s="45">
        <f>Download!D72</f>
        <v>70</v>
      </c>
      <c r="D82" s="42">
        <f>Download!H72</f>
        <v>70</v>
      </c>
      <c r="E82" s="252"/>
      <c r="F82" s="29">
        <f t="shared" si="15"/>
        <v>0</v>
      </c>
      <c r="G82" s="36"/>
      <c r="H82" s="36">
        <v>70</v>
      </c>
      <c r="I82" s="36"/>
      <c r="J82" s="47">
        <f t="shared" si="13"/>
        <v>0</v>
      </c>
      <c r="K82" s="37">
        <f t="shared" si="14"/>
        <v>0</v>
      </c>
      <c r="L82" s="43">
        <f>IF(ISERROR(VLOOKUP(A82,'Workings Prior Month'!A:N,10,FALSE))=TRUE,0,(VLOOKUP(A82,'Workings Prior Month'!A:N,10,FALSE)))</f>
        <v>0</v>
      </c>
      <c r="M82" s="43">
        <f>IF(ISERROR(VLOOKUP(A82,'Workings Prior Month'!A:N,11,FALSE))=TRUE,0,(VLOOKUP(A82,'Workings Prior Month'!A:N,11,FALSE)))</f>
        <v>0</v>
      </c>
      <c r="N82" s="49">
        <f t="shared" si="17"/>
        <v>0</v>
      </c>
      <c r="O82" s="137">
        <f>IF(ISERROR(VLOOKUP(A82,'Cross ref Tab'!A:C,3,FALSE)=TRUE),9500,VLOOKUP(A82,'Cross ref Tab'!A:C,3,FALSE))</f>
        <v>1630</v>
      </c>
      <c r="P82" s="137">
        <f>IF(A82="","",COUNTIF('Cross ref Tab'!$A$3:$A$311,A82))</f>
        <v>1</v>
      </c>
      <c r="Q82" s="182">
        <f t="shared" si="16"/>
      </c>
      <c r="R82" s="5">
        <f t="shared" si="9"/>
        <v>70</v>
      </c>
      <c r="S82" s="149">
        <f t="shared" si="10"/>
        <v>70</v>
      </c>
      <c r="T82" s="149">
        <f t="shared" si="11"/>
        <v>0</v>
      </c>
      <c r="U82" s="150">
        <f t="shared" si="12"/>
        <v>0</v>
      </c>
      <c r="V82" s="5" t="e">
        <f>VLOOKUP(A82,#REF!,7,FALSE)-C82</f>
        <v>#REF!</v>
      </c>
      <c r="W82" s="5" t="e">
        <f>SUMIF(#REF!,A82,#REF!)-C82</f>
        <v>#REF!</v>
      </c>
      <c r="X82" s="5"/>
      <c r="Y82" s="5"/>
      <c r="Z82" s="5"/>
      <c r="AA82" s="5"/>
      <c r="AB82" s="5"/>
      <c r="AC82" s="5"/>
      <c r="AD82" s="5"/>
      <c r="AE82" s="5"/>
      <c r="AF82" s="5"/>
      <c r="AG82" s="5"/>
      <c r="AH82" s="5"/>
      <c r="AI82" s="5"/>
      <c r="AJ82" s="5"/>
      <c r="AK82" s="5"/>
    </row>
    <row r="83" spans="1:37" ht="15" customHeight="1">
      <c r="A83" s="254">
        <f>IF(Download!B73="","",Download!B73)</f>
        <v>350</v>
      </c>
      <c r="B83" s="254" t="str">
        <f>IF(Download!C73="","",Download!C73)</f>
        <v>Year 11- Work Experience</v>
      </c>
      <c r="C83" s="45">
        <f>Download!D73</f>
        <v>100</v>
      </c>
      <c r="D83" s="42">
        <f>Download!H73</f>
        <v>6.22</v>
      </c>
      <c r="E83" s="252"/>
      <c r="F83" s="29">
        <f t="shared" si="15"/>
        <v>0.9378</v>
      </c>
      <c r="G83" s="36"/>
      <c r="H83" s="36"/>
      <c r="I83" s="38"/>
      <c r="J83" s="47">
        <f t="shared" si="13"/>
        <v>6.22</v>
      </c>
      <c r="K83" s="37">
        <f t="shared" si="14"/>
        <v>0</v>
      </c>
      <c r="L83" s="43">
        <f>IF(ISERROR(VLOOKUP(A83,'Workings Prior Month'!A:N,10,FALSE))=TRUE,0,(VLOOKUP(A83,'Workings Prior Month'!A:N,10,FALSE)))</f>
        <v>0</v>
      </c>
      <c r="M83" s="43">
        <f>IF(ISERROR(VLOOKUP(A83,'Workings Prior Month'!A:N,11,FALSE))=TRUE,0,(VLOOKUP(A83,'Workings Prior Month'!A:N,11,FALSE)))</f>
        <v>0</v>
      </c>
      <c r="N83" s="49">
        <f t="shared" si="17"/>
        <v>6.22</v>
      </c>
      <c r="O83" s="137">
        <f>IF(ISERROR(VLOOKUP(A83,'Cross ref Tab'!A:C,3,FALSE)=TRUE),9500,VLOOKUP(A83,'Cross ref Tab'!A:C,3,FALSE))</f>
        <v>1650</v>
      </c>
      <c r="P83" s="137">
        <f>IF(A83="","",COUNTIF('Cross ref Tab'!$A$3:$A$311,A83))</f>
        <v>1</v>
      </c>
      <c r="Q83" s="182">
        <f t="shared" si="16"/>
      </c>
      <c r="R83" s="5">
        <f t="shared" si="9"/>
        <v>100</v>
      </c>
      <c r="S83" s="149">
        <f t="shared" si="10"/>
        <v>93.78</v>
      </c>
      <c r="T83" s="149">
        <f t="shared" si="11"/>
        <v>6.219999999999999</v>
      </c>
      <c r="U83" s="150">
        <f t="shared" si="12"/>
        <v>0</v>
      </c>
      <c r="V83" s="5" t="e">
        <f>VLOOKUP(A83,#REF!,7,FALSE)-C83</f>
        <v>#REF!</v>
      </c>
      <c r="W83" s="5" t="e">
        <f>SUMIF(#REF!,A83,#REF!)-C83</f>
        <v>#REF!</v>
      </c>
      <c r="X83" s="5"/>
      <c r="Y83" s="5"/>
      <c r="Z83" s="5"/>
      <c r="AA83" s="5"/>
      <c r="AB83" s="5"/>
      <c r="AC83" s="5"/>
      <c r="AD83" s="5"/>
      <c r="AE83" s="5"/>
      <c r="AF83" s="5"/>
      <c r="AG83" s="5"/>
      <c r="AH83" s="5"/>
      <c r="AI83" s="5"/>
      <c r="AJ83" s="5"/>
      <c r="AK83" s="5"/>
    </row>
    <row r="84" spans="1:37" ht="15" customHeight="1">
      <c r="A84" s="254">
        <f>IF(Download!B74="","",Download!B74)</f>
        <v>351</v>
      </c>
      <c r="B84" s="254" t="str">
        <f>IF(Download!C74="","",Download!C74)</f>
        <v>Bursary Funding-14-19</v>
      </c>
      <c r="C84" s="45">
        <f>Download!D74</f>
        <v>18482</v>
      </c>
      <c r="D84" s="42">
        <f>Download!H74</f>
        <v>1082</v>
      </c>
      <c r="E84" s="252"/>
      <c r="F84" s="29">
        <f t="shared" si="15"/>
        <v>0.9414565523211773</v>
      </c>
      <c r="G84" s="36"/>
      <c r="H84" s="36">
        <v>1082</v>
      </c>
      <c r="I84" s="36"/>
      <c r="J84" s="47">
        <f t="shared" si="13"/>
        <v>0</v>
      </c>
      <c r="K84" s="37">
        <f t="shared" si="14"/>
        <v>0</v>
      </c>
      <c r="L84" s="43">
        <f>IF(ISERROR(VLOOKUP(A84,'Workings Prior Month'!A:N,10,FALSE))=TRUE,0,(VLOOKUP(A84,'Workings Prior Month'!A:N,10,FALSE)))</f>
        <v>0</v>
      </c>
      <c r="M84" s="43">
        <f>IF(ISERROR(VLOOKUP(A84,'Workings Prior Month'!A:N,11,FALSE))=TRUE,0,(VLOOKUP(A84,'Workings Prior Month'!A:N,11,FALSE)))</f>
        <v>0</v>
      </c>
      <c r="N84" s="49">
        <f t="shared" si="17"/>
        <v>0</v>
      </c>
      <c r="O84" s="137">
        <f>IF(ISERROR(VLOOKUP(A84,'Cross ref Tab'!A:C,3,FALSE)=TRUE),9500,VLOOKUP(A84,'Cross ref Tab'!A:C,3,FALSE))</f>
        <v>1650</v>
      </c>
      <c r="P84" s="137">
        <f>IF(A84="","",COUNTIF('Cross ref Tab'!$A$3:$A$311,A84))</f>
        <v>1</v>
      </c>
      <c r="Q84" s="182">
        <f t="shared" si="16"/>
      </c>
      <c r="R84" s="5">
        <f aca="true" t="shared" si="18" ref="R84:R147">+C84</f>
        <v>18482</v>
      </c>
      <c r="S84" s="149">
        <f aca="true" t="shared" si="19" ref="S84:S147">+C84-J84+K84</f>
        <v>18482</v>
      </c>
      <c r="T84" s="149">
        <f aca="true" t="shared" si="20" ref="T84:T147">+R84-S84</f>
        <v>0</v>
      </c>
      <c r="U84" s="150">
        <f aca="true" t="shared" si="21" ref="U84:U147">+T84-N84</f>
        <v>0</v>
      </c>
      <c r="V84" s="5" t="e">
        <f>VLOOKUP(A84,#REF!,7,FALSE)-C84</f>
        <v>#REF!</v>
      </c>
      <c r="W84" s="5" t="e">
        <f>SUMIF(#REF!,A84,#REF!)-C84</f>
        <v>#REF!</v>
      </c>
      <c r="X84" s="5"/>
      <c r="Y84" s="5"/>
      <c r="Z84" s="5"/>
      <c r="AA84" s="5"/>
      <c r="AB84" s="5"/>
      <c r="AC84" s="5"/>
      <c r="AD84" s="5"/>
      <c r="AE84" s="5"/>
      <c r="AF84" s="5"/>
      <c r="AG84" s="5"/>
      <c r="AH84" s="5"/>
      <c r="AI84" s="5"/>
      <c r="AJ84" s="5"/>
      <c r="AK84" s="5"/>
    </row>
    <row r="85" spans="1:37" ht="15" customHeight="1">
      <c r="A85" s="70">
        <f>IF(Download!B75="","",Download!B75)</f>
        <v>354</v>
      </c>
      <c r="B85" s="70" t="str">
        <f>IF(Download!C75="","",Download!C75)</f>
        <v>Pupil Premuim</v>
      </c>
      <c r="C85" s="45">
        <f>Download!D75</f>
        <v>19465</v>
      </c>
      <c r="D85" s="42">
        <f>Download!H75</f>
        <v>10157</v>
      </c>
      <c r="E85" s="252"/>
      <c r="F85" s="29">
        <f t="shared" si="15"/>
        <v>0.4781916259953763</v>
      </c>
      <c r="G85" s="36"/>
      <c r="H85" s="36">
        <v>10157</v>
      </c>
      <c r="I85" s="257"/>
      <c r="J85" s="47">
        <f t="shared" si="13"/>
        <v>0</v>
      </c>
      <c r="K85" s="37">
        <f t="shared" si="14"/>
        <v>0</v>
      </c>
      <c r="L85" s="43">
        <f>IF(ISERROR(VLOOKUP(A85,'Workings Prior Month'!A:N,10,FALSE))=TRUE,0,(VLOOKUP(A85,'Workings Prior Month'!A:N,10,FALSE)))</f>
        <v>0</v>
      </c>
      <c r="M85" s="43">
        <f>IF(ISERROR(VLOOKUP(A85,'Workings Prior Month'!A:N,11,FALSE))=TRUE,0,(VLOOKUP(A85,'Workings Prior Month'!A:N,11,FALSE)))</f>
        <v>0</v>
      </c>
      <c r="N85" s="49">
        <f t="shared" si="17"/>
        <v>0</v>
      </c>
      <c r="O85" s="137">
        <f>IF(ISERROR(VLOOKUP(A85,'Cross ref Tab'!A:C,3,FALSE)=TRUE),9500,VLOOKUP(A85,'Cross ref Tab'!A:C,3,FALSE))</f>
        <v>1640</v>
      </c>
      <c r="P85" s="137">
        <f>IF(A85="","",COUNTIF('Cross ref Tab'!$A$3:$A$311,A85))</f>
        <v>1</v>
      </c>
      <c r="Q85" s="182">
        <f t="shared" si="16"/>
      </c>
      <c r="R85" s="5">
        <f t="shared" si="18"/>
        <v>19465</v>
      </c>
      <c r="S85" s="149">
        <f t="shared" si="19"/>
        <v>19465</v>
      </c>
      <c r="T85" s="149">
        <f t="shared" si="20"/>
        <v>0</v>
      </c>
      <c r="U85" s="150">
        <f t="shared" si="21"/>
        <v>0</v>
      </c>
      <c r="V85" s="5" t="e">
        <f>VLOOKUP(A85,#REF!,7,FALSE)-C85</f>
        <v>#REF!</v>
      </c>
      <c r="W85" s="5" t="e">
        <f>SUMIF(#REF!,A85,#REF!)-C85</f>
        <v>#REF!</v>
      </c>
      <c r="X85" s="5"/>
      <c r="Y85" s="5"/>
      <c r="Z85" s="5"/>
      <c r="AA85" s="5"/>
      <c r="AB85" s="5"/>
      <c r="AC85" s="5"/>
      <c r="AD85" s="5"/>
      <c r="AE85" s="5"/>
      <c r="AF85" s="5"/>
      <c r="AG85" s="5"/>
      <c r="AH85" s="5"/>
      <c r="AI85" s="5"/>
      <c r="AJ85" s="5"/>
      <c r="AK85" s="5"/>
    </row>
    <row r="86" spans="1:37" ht="15" customHeight="1">
      <c r="A86" s="70" t="str">
        <f>IF(Download!B76="","",Download!B76)</f>
        <v>354A</v>
      </c>
      <c r="B86" s="70" t="str">
        <f>IF(Download!C76="","",Download!C76)</f>
        <v>Pupil Premium-Catch Up</v>
      </c>
      <c r="C86" s="45">
        <f>Download!D76</f>
        <v>0</v>
      </c>
      <c r="D86" s="42">
        <f>Download!H76</f>
        <v>0</v>
      </c>
      <c r="E86" s="252"/>
      <c r="F86" s="29" t="str">
        <f t="shared" si="15"/>
        <v>-</v>
      </c>
      <c r="G86" s="36"/>
      <c r="H86" s="36"/>
      <c r="I86" s="257"/>
      <c r="J86" s="47">
        <f t="shared" si="13"/>
        <v>0</v>
      </c>
      <c r="K86" s="37">
        <f t="shared" si="14"/>
        <v>0</v>
      </c>
      <c r="L86" s="43">
        <f>IF(ISERROR(VLOOKUP(A86,'Workings Prior Month'!A:N,10,FALSE))=TRUE,0,(VLOOKUP(A86,'Workings Prior Month'!A:N,10,FALSE)))</f>
        <v>0</v>
      </c>
      <c r="M86" s="43">
        <f>IF(ISERROR(VLOOKUP(A86,'Workings Prior Month'!A:N,11,FALSE))=TRUE,0,(VLOOKUP(A86,'Workings Prior Month'!A:N,11,FALSE)))</f>
        <v>0</v>
      </c>
      <c r="N86" s="49">
        <f t="shared" si="17"/>
        <v>0</v>
      </c>
      <c r="O86" s="137">
        <f>IF(ISERROR(VLOOKUP(A86,'Cross ref Tab'!A:C,3,FALSE)=TRUE),9500,VLOOKUP(A86,'Cross ref Tab'!A:C,3,FALSE))</f>
        <v>1640</v>
      </c>
      <c r="P86" s="137">
        <f>IF(A86="","",COUNTIF('Cross ref Tab'!$A$3:$A$311,A86))</f>
        <v>1</v>
      </c>
      <c r="Q86" s="182">
        <f t="shared" si="16"/>
      </c>
      <c r="R86" s="5">
        <f t="shared" si="18"/>
        <v>0</v>
      </c>
      <c r="S86" s="149">
        <f t="shared" si="19"/>
        <v>0</v>
      </c>
      <c r="T86" s="149">
        <f t="shared" si="20"/>
        <v>0</v>
      </c>
      <c r="U86" s="150">
        <f t="shared" si="21"/>
        <v>0</v>
      </c>
      <c r="V86" s="5" t="e">
        <f>VLOOKUP(A86,#REF!,7,FALSE)-C86</f>
        <v>#REF!</v>
      </c>
      <c r="W86" s="5" t="e">
        <f>SUMIF(#REF!,A86,#REF!)-C86</f>
        <v>#REF!</v>
      </c>
      <c r="X86" s="5"/>
      <c r="Y86" s="5"/>
      <c r="Z86" s="5"/>
      <c r="AA86" s="5"/>
      <c r="AB86" s="5"/>
      <c r="AC86" s="5"/>
      <c r="AD86" s="5"/>
      <c r="AE86" s="5"/>
      <c r="AF86" s="5"/>
      <c r="AG86" s="5"/>
      <c r="AH86" s="5"/>
      <c r="AI86" s="5"/>
      <c r="AJ86" s="5"/>
      <c r="AK86" s="5"/>
    </row>
    <row r="87" spans="1:37" ht="15" customHeight="1">
      <c r="A87" s="70">
        <f>IF(Download!B77="","",Download!B77)</f>
        <v>355</v>
      </c>
      <c r="B87" s="70" t="str">
        <f>IF(Download!C77="","",Download!C77)</f>
        <v>Pupil Premium Staffing</v>
      </c>
      <c r="C87" s="45">
        <f>Download!D77</f>
        <v>162000</v>
      </c>
      <c r="D87" s="42">
        <f>Download!H77</f>
        <v>0</v>
      </c>
      <c r="E87" s="252"/>
      <c r="F87" s="29">
        <f t="shared" si="15"/>
        <v>1</v>
      </c>
      <c r="G87" s="36"/>
      <c r="H87" s="36"/>
      <c r="I87" s="253"/>
      <c r="J87" s="47">
        <f t="shared" si="13"/>
        <v>0</v>
      </c>
      <c r="K87" s="37">
        <f t="shared" si="14"/>
        <v>0</v>
      </c>
      <c r="L87" s="43">
        <f>IF(ISERROR(VLOOKUP(A87,'Workings Prior Month'!A:N,10,FALSE))=TRUE,0,(VLOOKUP(A87,'Workings Prior Month'!A:N,10,FALSE)))</f>
        <v>0</v>
      </c>
      <c r="M87" s="43">
        <f>IF(ISERROR(VLOOKUP(A87,'Workings Prior Month'!A:N,11,FALSE))=TRUE,0,(VLOOKUP(A87,'Workings Prior Month'!A:N,11,FALSE)))</f>
        <v>0</v>
      </c>
      <c r="N87" s="49">
        <f t="shared" si="17"/>
        <v>0</v>
      </c>
      <c r="O87" s="137">
        <f>IF(ISERROR(VLOOKUP(A87,'Cross ref Tab'!A:C,3,FALSE)=TRUE),9500,VLOOKUP(A87,'Cross ref Tab'!A:C,3,FALSE))</f>
        <v>1640</v>
      </c>
      <c r="P87" s="137">
        <f>IF(A87="","",COUNTIF('Cross ref Tab'!$A$3:$A$311,A87))</f>
        <v>1</v>
      </c>
      <c r="Q87" s="182">
        <f t="shared" si="16"/>
      </c>
      <c r="R87" s="5">
        <f t="shared" si="18"/>
        <v>162000</v>
      </c>
      <c r="S87" s="149">
        <f t="shared" si="19"/>
        <v>162000</v>
      </c>
      <c r="T87" s="149">
        <f t="shared" si="20"/>
        <v>0</v>
      </c>
      <c r="U87" s="150">
        <f t="shared" si="21"/>
        <v>0</v>
      </c>
      <c r="V87" s="5" t="e">
        <f>VLOOKUP(A87,#REF!,7,FALSE)-C87</f>
        <v>#REF!</v>
      </c>
      <c r="W87" s="5" t="e">
        <f>SUMIF(#REF!,A87,#REF!)-C87</f>
        <v>#REF!</v>
      </c>
      <c r="X87" s="5"/>
      <c r="Y87" s="5"/>
      <c r="Z87" s="5"/>
      <c r="AA87" s="5"/>
      <c r="AB87" s="5"/>
      <c r="AC87" s="5"/>
      <c r="AD87" s="5"/>
      <c r="AE87" s="5"/>
      <c r="AF87" s="5"/>
      <c r="AG87" s="5"/>
      <c r="AH87" s="5"/>
      <c r="AI87" s="5"/>
      <c r="AJ87" s="5"/>
      <c r="AK87" s="5"/>
    </row>
    <row r="88" spans="1:37" ht="15" customHeight="1">
      <c r="A88" s="70">
        <f>IF(Download!B78="","",Download!B78)</f>
        <v>357</v>
      </c>
      <c r="B88" s="70" t="str">
        <f>IF(Download!C78="","",Download!C78)</f>
        <v>Stretch &amp; Challenge</v>
      </c>
      <c r="C88" s="45">
        <f>Download!D78</f>
        <v>2600</v>
      </c>
      <c r="D88" s="42">
        <f>Download!H78</f>
        <v>2535.25</v>
      </c>
      <c r="E88" s="252"/>
      <c r="F88" s="29">
        <f t="shared" si="15"/>
        <v>0.024903846153846155</v>
      </c>
      <c r="G88" s="36"/>
      <c r="H88" s="36">
        <v>2535.25</v>
      </c>
      <c r="I88" s="253"/>
      <c r="J88" s="47">
        <f t="shared" si="13"/>
        <v>0</v>
      </c>
      <c r="K88" s="37">
        <f t="shared" si="14"/>
        <v>0</v>
      </c>
      <c r="L88" s="43">
        <f>IF(ISERROR(VLOOKUP(A88,'Workings Prior Month'!A:N,10,FALSE))=TRUE,0,(VLOOKUP(A88,'Workings Prior Month'!A:N,10,FALSE)))</f>
        <v>0</v>
      </c>
      <c r="M88" s="43">
        <f>IF(ISERROR(VLOOKUP(A88,'Workings Prior Month'!A:N,11,FALSE))=TRUE,0,(VLOOKUP(A88,'Workings Prior Month'!A:N,11,FALSE)))</f>
        <v>0</v>
      </c>
      <c r="N88" s="49">
        <f t="shared" si="17"/>
        <v>0</v>
      </c>
      <c r="O88" s="137">
        <f>IF(ISERROR(VLOOKUP(A88,'Cross ref Tab'!A:C,3,FALSE)=TRUE),9500,VLOOKUP(A88,'Cross ref Tab'!A:C,3,FALSE))</f>
        <v>1640</v>
      </c>
      <c r="P88" s="137">
        <f>IF(A88="","",COUNTIF('Cross ref Tab'!$A$3:$A$311,A88))</f>
        <v>1</v>
      </c>
      <c r="Q88" s="182">
        <f t="shared" si="16"/>
      </c>
      <c r="R88" s="5">
        <f t="shared" si="18"/>
        <v>2600</v>
      </c>
      <c r="S88" s="149">
        <f t="shared" si="19"/>
        <v>2600</v>
      </c>
      <c r="T88" s="149">
        <f t="shared" si="20"/>
        <v>0</v>
      </c>
      <c r="U88" s="150">
        <f t="shared" si="21"/>
        <v>0</v>
      </c>
      <c r="V88" s="5" t="e">
        <f>VLOOKUP(A88,#REF!,7,FALSE)-C88</f>
        <v>#REF!</v>
      </c>
      <c r="W88" s="5" t="e">
        <f>SUMIF(#REF!,A88,#REF!)-C88</f>
        <v>#REF!</v>
      </c>
      <c r="X88" s="5"/>
      <c r="Y88" s="5"/>
      <c r="Z88" s="5"/>
      <c r="AA88" s="5"/>
      <c r="AB88" s="5"/>
      <c r="AC88" s="5"/>
      <c r="AD88" s="5"/>
      <c r="AE88" s="5"/>
      <c r="AF88" s="5"/>
      <c r="AG88" s="5"/>
      <c r="AH88" s="5"/>
      <c r="AI88" s="5"/>
      <c r="AJ88" s="5"/>
      <c r="AK88" s="5"/>
    </row>
    <row r="89" spans="1:37" ht="15" customHeight="1">
      <c r="A89" s="70">
        <f>IF(Download!B79="","",Download!B79)</f>
        <v>358</v>
      </c>
      <c r="B89" s="70" t="str">
        <f>IF(Download!C79="","",Download!C79)</f>
        <v>Careers</v>
      </c>
      <c r="C89" s="45">
        <f>Download!D79</f>
        <v>13400</v>
      </c>
      <c r="D89" s="42">
        <f>Download!H79</f>
        <v>497.1</v>
      </c>
      <c r="E89" s="252"/>
      <c r="F89" s="29">
        <f t="shared" si="15"/>
        <v>0.9629029850746268</v>
      </c>
      <c r="G89" s="36"/>
      <c r="H89" s="36">
        <v>497.1</v>
      </c>
      <c r="I89" s="253"/>
      <c r="J89" s="47">
        <f t="shared" si="13"/>
        <v>0</v>
      </c>
      <c r="K89" s="37">
        <f t="shared" si="14"/>
        <v>0</v>
      </c>
      <c r="L89" s="43">
        <f>IF(ISERROR(VLOOKUP(A89,'Workings Prior Month'!A:N,10,FALSE))=TRUE,0,(VLOOKUP(A89,'Workings Prior Month'!A:N,10,FALSE)))</f>
        <v>0</v>
      </c>
      <c r="M89" s="43">
        <f>IF(ISERROR(VLOOKUP(A89,'Workings Prior Month'!A:N,11,FALSE))=TRUE,0,(VLOOKUP(A89,'Workings Prior Month'!A:N,11,FALSE)))</f>
        <v>0</v>
      </c>
      <c r="N89" s="49">
        <f t="shared" si="17"/>
        <v>0</v>
      </c>
      <c r="O89" s="137">
        <f>IF(ISERROR(VLOOKUP(A89,'Cross ref Tab'!A:C,3,FALSE)=TRUE),9500,VLOOKUP(A89,'Cross ref Tab'!A:C,3,FALSE))</f>
        <v>1650</v>
      </c>
      <c r="P89" s="137">
        <f>IF(A89="","",COUNTIF('Cross ref Tab'!$A$3:$A$311,A89))</f>
        <v>1</v>
      </c>
      <c r="Q89" s="182">
        <f t="shared" si="16"/>
      </c>
      <c r="R89" s="5">
        <f t="shared" si="18"/>
        <v>13400</v>
      </c>
      <c r="S89" s="149">
        <f t="shared" si="19"/>
        <v>13400</v>
      </c>
      <c r="T89" s="149">
        <f t="shared" si="20"/>
        <v>0</v>
      </c>
      <c r="U89" s="150">
        <f t="shared" si="21"/>
        <v>0</v>
      </c>
      <c r="V89" s="5" t="e">
        <f>VLOOKUP(A89,#REF!,7,FALSE)-C89</f>
        <v>#REF!</v>
      </c>
      <c r="W89" s="5" t="e">
        <f>SUMIF(#REF!,A89,#REF!)-C89</f>
        <v>#REF!</v>
      </c>
      <c r="X89" s="5"/>
      <c r="Y89" s="5"/>
      <c r="Z89" s="5"/>
      <c r="AA89" s="5"/>
      <c r="AB89" s="5"/>
      <c r="AC89" s="5"/>
      <c r="AD89" s="5"/>
      <c r="AE89" s="5"/>
      <c r="AF89" s="5"/>
      <c r="AG89" s="5"/>
      <c r="AH89" s="5"/>
      <c r="AI89" s="5"/>
      <c r="AJ89" s="5"/>
      <c r="AK89" s="5"/>
    </row>
    <row r="90" spans="1:37" ht="15" customHeight="1">
      <c r="A90" s="254">
        <f>IF(Download!B80="","",Download!B80)</f>
        <v>360</v>
      </c>
      <c r="B90" s="254" t="str">
        <f>IF(Download!C80="","",Download!C80)</f>
        <v>Do not use</v>
      </c>
      <c r="C90" s="45">
        <f>Download!D80</f>
        <v>0</v>
      </c>
      <c r="D90" s="42">
        <f>Download!H80</f>
        <v>0</v>
      </c>
      <c r="E90" s="252"/>
      <c r="F90" s="29" t="str">
        <f t="shared" si="15"/>
        <v>-</v>
      </c>
      <c r="G90" s="36"/>
      <c r="H90" s="36"/>
      <c r="I90" s="253"/>
      <c r="J90" s="47">
        <f t="shared" si="13"/>
        <v>0</v>
      </c>
      <c r="K90" s="37">
        <f t="shared" si="14"/>
        <v>0</v>
      </c>
      <c r="L90" s="43">
        <f>IF(ISERROR(VLOOKUP(A90,'Workings Prior Month'!A:N,10,FALSE))=TRUE,0,(VLOOKUP(A90,'Workings Prior Month'!A:N,10,FALSE)))</f>
        <v>0</v>
      </c>
      <c r="M90" s="43">
        <f>IF(ISERROR(VLOOKUP(A90,'Workings Prior Month'!A:N,11,FALSE))=TRUE,0,(VLOOKUP(A90,'Workings Prior Month'!A:N,11,FALSE)))</f>
        <v>0</v>
      </c>
      <c r="N90" s="49">
        <f t="shared" si="17"/>
        <v>0</v>
      </c>
      <c r="O90" s="137">
        <f>IF(ISERROR(VLOOKUP(A90,'Cross ref Tab'!A:C,3,FALSE)=TRUE),9500,VLOOKUP(A90,'Cross ref Tab'!A:C,3,FALSE))</f>
        <v>5300</v>
      </c>
      <c r="P90" s="137">
        <f>IF(A90="","",COUNTIF('Cross ref Tab'!$A$3:$A$311,A90))</f>
        <v>1</v>
      </c>
      <c r="Q90" s="182">
        <f t="shared" si="16"/>
      </c>
      <c r="R90" s="5">
        <f t="shared" si="18"/>
        <v>0</v>
      </c>
      <c r="S90" s="149">
        <f t="shared" si="19"/>
        <v>0</v>
      </c>
      <c r="T90" s="149">
        <f t="shared" si="20"/>
        <v>0</v>
      </c>
      <c r="U90" s="150">
        <f t="shared" si="21"/>
        <v>0</v>
      </c>
      <c r="V90" s="5" t="e">
        <f>VLOOKUP(A90,#REF!,7,FALSE)-C90</f>
        <v>#REF!</v>
      </c>
      <c r="W90" s="5" t="e">
        <f>SUMIF(#REF!,A90,#REF!)-C90</f>
        <v>#REF!</v>
      </c>
      <c r="X90" s="5"/>
      <c r="Y90" s="5"/>
      <c r="Z90" s="5"/>
      <c r="AA90" s="5"/>
      <c r="AB90" s="5"/>
      <c r="AC90" s="5"/>
      <c r="AD90" s="5"/>
      <c r="AE90" s="5"/>
      <c r="AF90" s="5"/>
      <c r="AG90" s="5"/>
      <c r="AH90" s="5"/>
      <c r="AI90" s="5"/>
      <c r="AJ90" s="5"/>
      <c r="AK90" s="5"/>
    </row>
    <row r="91" spans="1:37" ht="15" customHeight="1">
      <c r="A91" s="70">
        <f>IF(Download!B81="","",Download!B81)</f>
        <v>364</v>
      </c>
      <c r="B91" s="70" t="str">
        <f>IF(Download!C81="","",Download!C81)</f>
        <v>Summer School</v>
      </c>
      <c r="C91" s="45">
        <f>Download!D81</f>
        <v>0</v>
      </c>
      <c r="D91" s="42">
        <f>Download!H81</f>
        <v>50.8</v>
      </c>
      <c r="E91" s="252"/>
      <c r="F91" s="29" t="str">
        <f t="shared" si="15"/>
        <v>-</v>
      </c>
      <c r="G91" s="36"/>
      <c r="H91" s="36">
        <v>50.8</v>
      </c>
      <c r="I91" s="36"/>
      <c r="J91" s="47">
        <f t="shared" si="13"/>
        <v>0</v>
      </c>
      <c r="K91" s="37">
        <f t="shared" si="14"/>
        <v>0</v>
      </c>
      <c r="L91" s="43">
        <f>IF(ISERROR(VLOOKUP(A91,'Workings Prior Month'!A:N,10,FALSE))=TRUE,0,(VLOOKUP(A91,'Workings Prior Month'!A:N,10,FALSE)))</f>
        <v>50.8</v>
      </c>
      <c r="M91" s="43">
        <f>IF(ISERROR(VLOOKUP(A91,'Workings Prior Month'!A:N,11,FALSE))=TRUE,0,(VLOOKUP(A91,'Workings Prior Month'!A:N,11,FALSE)))</f>
        <v>0</v>
      </c>
      <c r="N91" s="49">
        <f t="shared" si="17"/>
        <v>-50.8</v>
      </c>
      <c r="O91" s="137">
        <f>IF(ISERROR(VLOOKUP(A91,'Cross ref Tab'!A:C,3,FALSE)=TRUE),9500,VLOOKUP(A91,'Cross ref Tab'!A:C,3,FALSE))</f>
        <v>1600</v>
      </c>
      <c r="P91" s="137">
        <f>IF(A91="","",COUNTIF('Cross ref Tab'!$A$3:$A$311,A91))</f>
        <v>1</v>
      </c>
      <c r="Q91" s="182">
        <f t="shared" si="16"/>
      </c>
      <c r="R91" s="5">
        <f t="shared" si="18"/>
        <v>0</v>
      </c>
      <c r="S91" s="149">
        <f t="shared" si="19"/>
        <v>0</v>
      </c>
      <c r="T91" s="149">
        <f t="shared" si="20"/>
        <v>0</v>
      </c>
      <c r="U91" s="150">
        <f t="shared" si="21"/>
        <v>50.8</v>
      </c>
      <c r="V91" s="5" t="e">
        <f>VLOOKUP(A91,#REF!,7,FALSE)-C91</f>
        <v>#REF!</v>
      </c>
      <c r="W91" s="5" t="e">
        <f>SUMIF(#REF!,A91,#REF!)-C91</f>
        <v>#REF!</v>
      </c>
      <c r="X91" s="5"/>
      <c r="Y91" s="5"/>
      <c r="Z91" s="5"/>
      <c r="AA91" s="5"/>
      <c r="AB91" s="5"/>
      <c r="AC91" s="5"/>
      <c r="AD91" s="5"/>
      <c r="AE91" s="5"/>
      <c r="AF91" s="5"/>
      <c r="AG91" s="5"/>
      <c r="AH91" s="5"/>
      <c r="AI91" s="5"/>
      <c r="AJ91" s="5"/>
      <c r="AK91" s="5"/>
    </row>
    <row r="92" spans="1:37" ht="15" customHeight="1">
      <c r="A92" s="70">
        <f>IF(Download!B82="","",Download!B82)</f>
        <v>365</v>
      </c>
      <c r="B92" s="70" t="str">
        <f>IF(Download!C82="","",Download!C82)</f>
        <v>Cricket School</v>
      </c>
      <c r="C92" s="45">
        <f>Download!D82</f>
        <v>1427</v>
      </c>
      <c r="D92" s="42">
        <f>Download!H82</f>
        <v>692.72</v>
      </c>
      <c r="E92" s="252"/>
      <c r="F92" s="29">
        <f t="shared" si="15"/>
        <v>0.514562018220042</v>
      </c>
      <c r="G92" s="36"/>
      <c r="H92" s="36">
        <v>692.72</v>
      </c>
      <c r="I92" s="253"/>
      <c r="J92" s="47">
        <f t="shared" si="13"/>
        <v>0</v>
      </c>
      <c r="K92" s="37">
        <f t="shared" si="14"/>
        <v>0</v>
      </c>
      <c r="L92" s="43">
        <f>IF(ISERROR(VLOOKUP(A92,'Workings Prior Month'!A:N,10,FALSE))=TRUE,0,(VLOOKUP(A92,'Workings Prior Month'!A:N,10,FALSE)))</f>
        <v>0</v>
      </c>
      <c r="M92" s="43">
        <f>IF(ISERROR(VLOOKUP(A92,'Workings Prior Month'!A:N,11,FALSE))=TRUE,0,(VLOOKUP(A92,'Workings Prior Month'!A:N,11,FALSE)))</f>
        <v>0</v>
      </c>
      <c r="N92" s="49">
        <f t="shared" si="17"/>
        <v>0</v>
      </c>
      <c r="O92" s="137">
        <f>IF(ISERROR(VLOOKUP(A92,'Cross ref Tab'!A:C,3,FALSE)=TRUE),9500,VLOOKUP(A92,'Cross ref Tab'!A:C,3,FALSE))</f>
        <v>1600</v>
      </c>
      <c r="P92" s="137">
        <f>IF(A92="","",COUNTIF('Cross ref Tab'!$A$3:$A$311,A92))</f>
        <v>1</v>
      </c>
      <c r="Q92" s="182">
        <f t="shared" si="16"/>
      </c>
      <c r="R92" s="5">
        <f t="shared" si="18"/>
        <v>1427</v>
      </c>
      <c r="S92" s="149">
        <f t="shared" si="19"/>
        <v>1427</v>
      </c>
      <c r="T92" s="149">
        <f t="shared" si="20"/>
        <v>0</v>
      </c>
      <c r="U92" s="150">
        <f t="shared" si="21"/>
        <v>0</v>
      </c>
      <c r="V92" s="5" t="e">
        <f>VLOOKUP(A92,#REF!,7,FALSE)-C92</f>
        <v>#REF!</v>
      </c>
      <c r="W92" s="5" t="e">
        <f>SUMIF(#REF!,A92,#REF!)-C92</f>
        <v>#REF!</v>
      </c>
      <c r="X92" s="5"/>
      <c r="Y92" s="5"/>
      <c r="Z92" s="5"/>
      <c r="AA92" s="5"/>
      <c r="AB92" s="5"/>
      <c r="AC92" s="5"/>
      <c r="AD92" s="5"/>
      <c r="AE92" s="5"/>
      <c r="AF92" s="5"/>
      <c r="AG92" s="5"/>
      <c r="AH92" s="5"/>
      <c r="AI92" s="5"/>
      <c r="AJ92" s="5"/>
      <c r="AK92" s="5"/>
    </row>
    <row r="93" spans="1:37" ht="15" customHeight="1">
      <c r="A93" s="70">
        <f>IF(Download!B83="","",Download!B83)</f>
        <v>366</v>
      </c>
      <c r="B93" s="70" t="str">
        <f>IF(Download!C83="","",Download!C83)</f>
        <v>Football Academy</v>
      </c>
      <c r="C93" s="45">
        <f>Download!D83</f>
        <v>25000</v>
      </c>
      <c r="D93" s="42">
        <f>Download!H83</f>
        <v>4352.99</v>
      </c>
      <c r="E93" s="252"/>
      <c r="F93" s="29">
        <f t="shared" si="15"/>
        <v>0.8258804000000001</v>
      </c>
      <c r="G93" s="36"/>
      <c r="H93" s="36">
        <v>4352.99</v>
      </c>
      <c r="I93" s="36"/>
      <c r="J93" s="47">
        <f t="shared" si="13"/>
        <v>0</v>
      </c>
      <c r="K93" s="37">
        <f t="shared" si="14"/>
        <v>0</v>
      </c>
      <c r="L93" s="43">
        <f>IF(ISERROR(VLOOKUP(A93,'Workings Prior Month'!A:N,10,FALSE))=TRUE,0,(VLOOKUP(A93,'Workings Prior Month'!A:N,10,FALSE)))</f>
        <v>0</v>
      </c>
      <c r="M93" s="43">
        <f>IF(ISERROR(VLOOKUP(A93,'Workings Prior Month'!A:N,11,FALSE))=TRUE,0,(VLOOKUP(A93,'Workings Prior Month'!A:N,11,FALSE)))</f>
        <v>0</v>
      </c>
      <c r="N93" s="49">
        <f t="shared" si="17"/>
        <v>0</v>
      </c>
      <c r="O93" s="137">
        <f>IF(ISERROR(VLOOKUP(A93,'Cross ref Tab'!A:C,3,FALSE)=TRUE),9500,VLOOKUP(A93,'Cross ref Tab'!A:C,3,FALSE))</f>
        <v>1600</v>
      </c>
      <c r="P93" s="137">
        <f>IF(A93="","",COUNTIF('Cross ref Tab'!$A$3:$A$311,A93))</f>
        <v>1</v>
      </c>
      <c r="Q93" s="182">
        <f t="shared" si="16"/>
      </c>
      <c r="R93" s="5">
        <f t="shared" si="18"/>
        <v>25000</v>
      </c>
      <c r="S93" s="149">
        <f t="shared" si="19"/>
        <v>25000</v>
      </c>
      <c r="T93" s="149">
        <f t="shared" si="20"/>
        <v>0</v>
      </c>
      <c r="U93" s="150">
        <f t="shared" si="21"/>
        <v>0</v>
      </c>
      <c r="V93" s="5" t="e">
        <f>VLOOKUP(A93,#REF!,7,FALSE)-C93</f>
        <v>#REF!</v>
      </c>
      <c r="W93" s="5" t="e">
        <f>SUMIF(#REF!,A93,#REF!)-C93</f>
        <v>#REF!</v>
      </c>
      <c r="X93" s="5"/>
      <c r="Y93" s="5"/>
      <c r="Z93" s="5"/>
      <c r="AA93" s="5"/>
      <c r="AB93" s="5"/>
      <c r="AC93" s="5"/>
      <c r="AD93" s="5"/>
      <c r="AE93" s="5"/>
      <c r="AF93" s="5"/>
      <c r="AG93" s="5"/>
      <c r="AH93" s="5"/>
      <c r="AI93" s="5"/>
      <c r="AJ93" s="5"/>
      <c r="AK93" s="5"/>
    </row>
    <row r="94" spans="1:37" ht="15" customHeight="1">
      <c r="A94" s="70">
        <f>IF(Download!B84="","",Download!B84)</f>
        <v>367</v>
      </c>
      <c r="B94" s="70" t="str">
        <f>IF(Download!C84="","",Download!C84)</f>
        <v>Duke of Edinburgh Award</v>
      </c>
      <c r="C94" s="45">
        <f>Download!D84</f>
        <v>2574</v>
      </c>
      <c r="D94" s="42">
        <f>Download!H84</f>
        <v>795.69</v>
      </c>
      <c r="E94" s="252"/>
      <c r="F94" s="29">
        <f t="shared" si="15"/>
        <v>0.6908741258741259</v>
      </c>
      <c r="G94" s="36"/>
      <c r="H94" s="36">
        <v>795.69</v>
      </c>
      <c r="I94" s="253"/>
      <c r="J94" s="47">
        <f t="shared" si="13"/>
        <v>0</v>
      </c>
      <c r="K94" s="37">
        <f t="shared" si="14"/>
        <v>0</v>
      </c>
      <c r="L94" s="43">
        <f>IF(ISERROR(VLOOKUP(A94,'Workings Prior Month'!A:N,10,FALSE))=TRUE,0,(VLOOKUP(A94,'Workings Prior Month'!A:N,10,FALSE)))</f>
        <v>0</v>
      </c>
      <c r="M94" s="43">
        <f>IF(ISERROR(VLOOKUP(A94,'Workings Prior Month'!A:N,11,FALSE))=TRUE,0,(VLOOKUP(A94,'Workings Prior Month'!A:N,11,FALSE)))</f>
        <v>0</v>
      </c>
      <c r="N94" s="49">
        <f t="shared" si="17"/>
        <v>0</v>
      </c>
      <c r="O94" s="137">
        <f>IF(ISERROR(VLOOKUP(A94,'Cross ref Tab'!A:C,3,FALSE)=TRUE),9500,VLOOKUP(A94,'Cross ref Tab'!A:C,3,FALSE))</f>
        <v>1650</v>
      </c>
      <c r="P94" s="137">
        <f>IF(A94="","",COUNTIF('Cross ref Tab'!$A$3:$A$311,A94))</f>
        <v>1</v>
      </c>
      <c r="Q94" s="182">
        <f t="shared" si="16"/>
      </c>
      <c r="R94" s="5">
        <f t="shared" si="18"/>
        <v>2574</v>
      </c>
      <c r="S94" s="149">
        <f t="shared" si="19"/>
        <v>2574</v>
      </c>
      <c r="T94" s="149">
        <f t="shared" si="20"/>
        <v>0</v>
      </c>
      <c r="U94" s="150">
        <f t="shared" si="21"/>
        <v>0</v>
      </c>
      <c r="V94" s="5" t="e">
        <f>VLOOKUP(A94,#REF!,7,FALSE)-C94</f>
        <v>#REF!</v>
      </c>
      <c r="W94" s="5" t="e">
        <f>SUMIF(#REF!,A94,#REF!)-C94</f>
        <v>#REF!</v>
      </c>
      <c r="X94" s="5"/>
      <c r="Y94" s="5"/>
      <c r="Z94" s="5"/>
      <c r="AA94" s="5"/>
      <c r="AB94" s="5"/>
      <c r="AC94" s="5"/>
      <c r="AD94" s="5"/>
      <c r="AE94" s="5"/>
      <c r="AF94" s="5"/>
      <c r="AG94" s="5"/>
      <c r="AH94" s="5"/>
      <c r="AI94" s="5"/>
      <c r="AJ94" s="5"/>
      <c r="AK94" s="5"/>
    </row>
    <row r="95" spans="1:37" ht="15" customHeight="1">
      <c r="A95" s="70">
        <f>IF(Download!B85="","",Download!B85)</f>
        <v>369</v>
      </c>
      <c r="B95" s="70" t="str">
        <f>IF(Download!C85="","",Download!C85)</f>
        <v>School Improvement</v>
      </c>
      <c r="C95" s="45">
        <f>Download!D85</f>
        <v>28883</v>
      </c>
      <c r="D95" s="42">
        <f>Download!H85</f>
        <v>5965</v>
      </c>
      <c r="E95" s="252"/>
      <c r="F95" s="29">
        <f t="shared" si="15"/>
        <v>0.7934771318768826</v>
      </c>
      <c r="G95" s="36"/>
      <c r="H95" s="36">
        <v>5965</v>
      </c>
      <c r="I95" s="36"/>
      <c r="J95" s="47">
        <f t="shared" si="13"/>
        <v>0</v>
      </c>
      <c r="K95" s="37">
        <f t="shared" si="14"/>
        <v>0</v>
      </c>
      <c r="L95" s="43">
        <f>IF(ISERROR(VLOOKUP(A95,'Workings Prior Month'!A:N,10,FALSE))=TRUE,0,(VLOOKUP(A95,'Workings Prior Month'!A:N,10,FALSE)))</f>
        <v>0</v>
      </c>
      <c r="M95" s="43">
        <f>IF(ISERROR(VLOOKUP(A95,'Workings Prior Month'!A:N,11,FALSE))=TRUE,0,(VLOOKUP(A95,'Workings Prior Month'!A:N,11,FALSE)))</f>
        <v>0</v>
      </c>
      <c r="N95" s="49">
        <f t="shared" si="17"/>
        <v>0</v>
      </c>
      <c r="O95" s="137">
        <f>IF(ISERROR(VLOOKUP(A95,'Cross ref Tab'!A:C,3,FALSE)=TRUE),9500,VLOOKUP(A95,'Cross ref Tab'!A:C,3,FALSE))</f>
        <v>1620</v>
      </c>
      <c r="P95" s="137">
        <f>IF(A95="","",COUNTIF('Cross ref Tab'!$A$3:$A$311,A95))</f>
        <v>1</v>
      </c>
      <c r="Q95" s="182">
        <f t="shared" si="16"/>
      </c>
      <c r="R95" s="5">
        <f t="shared" si="18"/>
        <v>28883</v>
      </c>
      <c r="S95" s="149">
        <f t="shared" si="19"/>
        <v>28883</v>
      </c>
      <c r="T95" s="149">
        <f t="shared" si="20"/>
        <v>0</v>
      </c>
      <c r="U95" s="150">
        <f t="shared" si="21"/>
        <v>0</v>
      </c>
      <c r="V95" s="5" t="e">
        <f>VLOOKUP(A95,#REF!,7,FALSE)-C95</f>
        <v>#REF!</v>
      </c>
      <c r="W95" s="5" t="e">
        <f>SUMIF(#REF!,A95,#REF!)-C95</f>
        <v>#REF!</v>
      </c>
      <c r="X95" s="5"/>
      <c r="Y95" s="5"/>
      <c r="Z95" s="5"/>
      <c r="AA95" s="5"/>
      <c r="AB95" s="5"/>
      <c r="AC95" s="5"/>
      <c r="AD95" s="5"/>
      <c r="AE95" s="5"/>
      <c r="AF95" s="5"/>
      <c r="AG95" s="5"/>
      <c r="AH95" s="5"/>
      <c r="AI95" s="5"/>
      <c r="AJ95" s="5"/>
      <c r="AK95" s="5"/>
    </row>
    <row r="96" spans="1:37" ht="15" customHeight="1">
      <c r="A96" s="70">
        <f>IF(Download!B86="","",Download!B86)</f>
        <v>370</v>
      </c>
      <c r="B96" s="70" t="str">
        <f>IF(Download!C86="","",Download!C86)</f>
        <v>School Improvement - Buildings</v>
      </c>
      <c r="C96" s="45">
        <f>Download!D86</f>
        <v>0</v>
      </c>
      <c r="D96" s="42">
        <f>Download!H86</f>
        <v>0</v>
      </c>
      <c r="E96" s="252"/>
      <c r="F96" s="29" t="str">
        <f t="shared" si="15"/>
        <v>-</v>
      </c>
      <c r="G96" s="36"/>
      <c r="H96" s="36"/>
      <c r="I96" s="253"/>
      <c r="J96" s="47">
        <f t="shared" si="13"/>
        <v>0</v>
      </c>
      <c r="K96" s="37">
        <f t="shared" si="14"/>
        <v>0</v>
      </c>
      <c r="L96" s="43">
        <f>IF(ISERROR(VLOOKUP(A96,'Workings Prior Month'!A:N,10,FALSE))=TRUE,0,(VLOOKUP(A96,'Workings Prior Month'!A:N,10,FALSE)))</f>
        <v>0</v>
      </c>
      <c r="M96" s="43">
        <f>IF(ISERROR(VLOOKUP(A96,'Workings Prior Month'!A:N,11,FALSE))=TRUE,0,(VLOOKUP(A96,'Workings Prior Month'!A:N,11,FALSE)))</f>
        <v>0</v>
      </c>
      <c r="N96" s="49">
        <f t="shared" si="17"/>
        <v>0</v>
      </c>
      <c r="O96" s="137">
        <f>IF(ISERROR(VLOOKUP(A96,'Cross ref Tab'!A:C,3,FALSE)=TRUE),9500,VLOOKUP(A96,'Cross ref Tab'!A:C,3,FALSE))</f>
        <v>1620</v>
      </c>
      <c r="P96" s="137">
        <f>IF(A96="","",COUNTIF('Cross ref Tab'!$A$3:$A$311,A96))</f>
        <v>1</v>
      </c>
      <c r="Q96" s="182">
        <f t="shared" si="16"/>
      </c>
      <c r="R96" s="5">
        <f t="shared" si="18"/>
        <v>0</v>
      </c>
      <c r="S96" s="149">
        <f t="shared" si="19"/>
        <v>0</v>
      </c>
      <c r="T96" s="149">
        <f t="shared" si="20"/>
        <v>0</v>
      </c>
      <c r="U96" s="150">
        <f t="shared" si="21"/>
        <v>0</v>
      </c>
      <c r="V96" s="5" t="e">
        <f>VLOOKUP(A96,#REF!,7,FALSE)-C96</f>
        <v>#REF!</v>
      </c>
      <c r="W96" s="5" t="e">
        <f>SUMIF(#REF!,A96,#REF!)-C96</f>
        <v>#REF!</v>
      </c>
      <c r="X96" s="5"/>
      <c r="Y96" s="5"/>
      <c r="Z96" s="5"/>
      <c r="AA96" s="5"/>
      <c r="AB96" s="5"/>
      <c r="AC96" s="5"/>
      <c r="AD96" s="5"/>
      <c r="AE96" s="5"/>
      <c r="AF96" s="5"/>
      <c r="AG96" s="5"/>
      <c r="AH96" s="5"/>
      <c r="AI96" s="5"/>
      <c r="AJ96" s="5"/>
      <c r="AK96" s="5"/>
    </row>
    <row r="97" spans="1:37" ht="15" customHeight="1">
      <c r="A97" s="70">
        <f>IF(Download!B87="","",Download!B87)</f>
        <v>502</v>
      </c>
      <c r="B97" s="70" t="str">
        <f>IF(Download!C87="","",Download!C87)</f>
        <v>Catering Costs-Other</v>
      </c>
      <c r="C97" s="45">
        <f>Download!D87</f>
        <v>3500</v>
      </c>
      <c r="D97" s="42">
        <f>Download!H87</f>
        <v>-263.91</v>
      </c>
      <c r="E97" s="252"/>
      <c r="F97" s="29">
        <f t="shared" si="15"/>
        <v>1.075402857142857</v>
      </c>
      <c r="G97" s="36"/>
      <c r="H97" s="36"/>
      <c r="I97" s="253"/>
      <c r="J97" s="47">
        <f t="shared" si="13"/>
        <v>0</v>
      </c>
      <c r="K97" s="37">
        <f t="shared" si="14"/>
        <v>263.91</v>
      </c>
      <c r="L97" s="43">
        <f>IF(ISERROR(VLOOKUP(A97,'Workings Prior Month'!A:N,10,FALSE))=TRUE,0,(VLOOKUP(A97,'Workings Prior Month'!A:N,10,FALSE)))</f>
        <v>0</v>
      </c>
      <c r="M97" s="43">
        <f>IF(ISERROR(VLOOKUP(A97,'Workings Prior Month'!A:N,11,FALSE))=TRUE,0,(VLOOKUP(A97,'Workings Prior Month'!A:N,11,FALSE)))</f>
        <v>83.91</v>
      </c>
      <c r="N97" s="49">
        <f t="shared" si="17"/>
        <v>-180.00000000000003</v>
      </c>
      <c r="O97" s="137">
        <f>IF(ISERROR(VLOOKUP(A97,'Cross ref Tab'!A:C,3,FALSE)=TRUE),9500,VLOOKUP(A97,'Cross ref Tab'!A:C,3,FALSE))</f>
        <v>1810</v>
      </c>
      <c r="P97" s="137">
        <f>IF(A97="","",COUNTIF('Cross ref Tab'!$A$3:$A$311,A97))</f>
        <v>1</v>
      </c>
      <c r="Q97" s="182">
        <f t="shared" si="16"/>
      </c>
      <c r="R97" s="5">
        <f t="shared" si="18"/>
        <v>3500</v>
      </c>
      <c r="S97" s="149">
        <f t="shared" si="19"/>
        <v>3763.91</v>
      </c>
      <c r="T97" s="149">
        <f t="shared" si="20"/>
        <v>-263.90999999999985</v>
      </c>
      <c r="U97" s="150">
        <f t="shared" si="21"/>
        <v>-83.90999999999983</v>
      </c>
      <c r="V97" s="5" t="e">
        <f>VLOOKUP(A97,#REF!,7,FALSE)-C97</f>
        <v>#REF!</v>
      </c>
      <c r="W97" s="5" t="e">
        <f>SUMIF(#REF!,A97,#REF!)-C97</f>
        <v>#REF!</v>
      </c>
      <c r="X97" s="5"/>
      <c r="Y97" s="5"/>
      <c r="Z97" s="5"/>
      <c r="AA97" s="5"/>
      <c r="AB97" s="5"/>
      <c r="AC97" s="5"/>
      <c r="AD97" s="5"/>
      <c r="AE97" s="5"/>
      <c r="AF97" s="5"/>
      <c r="AG97" s="5"/>
      <c r="AH97" s="5"/>
      <c r="AI97" s="5"/>
      <c r="AJ97" s="5"/>
      <c r="AK97" s="5"/>
    </row>
    <row r="98" spans="1:37" ht="15" customHeight="1">
      <c r="A98" s="70">
        <f>IF(Download!B88="","",Download!B88)</f>
        <v>503</v>
      </c>
      <c r="B98" s="70" t="str">
        <f>IF(Download!C88="","",Download!C88)</f>
        <v>Communications-Telephone/Fax</v>
      </c>
      <c r="C98" s="45">
        <f>Download!D88</f>
        <v>12000</v>
      </c>
      <c r="D98" s="42">
        <f>Download!H88</f>
        <v>401.46</v>
      </c>
      <c r="E98" s="252"/>
      <c r="F98" s="29">
        <f t="shared" si="15"/>
        <v>0.9665450000000001</v>
      </c>
      <c r="G98" s="36"/>
      <c r="H98" s="36">
        <v>401.45</v>
      </c>
      <c r="I98" s="36"/>
      <c r="J98" s="47">
        <f t="shared" si="13"/>
        <v>0.009999999999990905</v>
      </c>
      <c r="K98" s="37">
        <f t="shared" si="14"/>
        <v>0</v>
      </c>
      <c r="L98" s="43">
        <f>IF(ISERROR(VLOOKUP(A98,'Workings Prior Month'!A:N,10,FALSE))=TRUE,0,(VLOOKUP(A98,'Workings Prior Month'!A:N,10,FALSE)))</f>
        <v>330.59</v>
      </c>
      <c r="M98" s="43">
        <f>IF(ISERROR(VLOOKUP(A98,'Workings Prior Month'!A:N,11,FALSE))=TRUE,0,(VLOOKUP(A98,'Workings Prior Month'!A:N,11,FALSE)))</f>
        <v>0</v>
      </c>
      <c r="N98" s="49">
        <f t="shared" si="17"/>
        <v>-330.58</v>
      </c>
      <c r="O98" s="137">
        <f>IF(ISERROR(VLOOKUP(A98,'Cross ref Tab'!A:C,3,FALSE)=TRUE),9500,VLOOKUP(A98,'Cross ref Tab'!A:C,3,FALSE))</f>
        <v>1800</v>
      </c>
      <c r="P98" s="137">
        <f>IF(A98="","",COUNTIF('Cross ref Tab'!$A$3:$A$311,A98))</f>
        <v>1</v>
      </c>
      <c r="Q98" s="182">
        <f t="shared" si="16"/>
      </c>
      <c r="R98" s="5">
        <f t="shared" si="18"/>
        <v>12000</v>
      </c>
      <c r="S98" s="149">
        <f t="shared" si="19"/>
        <v>11999.99</v>
      </c>
      <c r="T98" s="149">
        <f t="shared" si="20"/>
        <v>0.010000000000218279</v>
      </c>
      <c r="U98" s="150">
        <f t="shared" si="21"/>
        <v>330.5900000000002</v>
      </c>
      <c r="V98" s="5" t="e">
        <f>VLOOKUP(A98,#REF!,7,FALSE)-C98</f>
        <v>#REF!</v>
      </c>
      <c r="W98" s="5" t="e">
        <f>SUMIF(#REF!,A98,#REF!)-C98</f>
        <v>#REF!</v>
      </c>
      <c r="X98" s="5"/>
      <c r="Y98" s="5"/>
      <c r="Z98" s="5"/>
      <c r="AA98" s="5"/>
      <c r="AB98" s="5"/>
      <c r="AC98" s="5"/>
      <c r="AD98" s="5"/>
      <c r="AE98" s="5"/>
      <c r="AF98" s="5"/>
      <c r="AG98" s="5"/>
      <c r="AH98" s="5"/>
      <c r="AI98" s="5"/>
      <c r="AJ98" s="5"/>
      <c r="AK98" s="5"/>
    </row>
    <row r="99" spans="1:37" ht="15" customHeight="1">
      <c r="A99" s="70">
        <f>IF(Download!B89="","",Download!B89)</f>
        <v>504</v>
      </c>
      <c r="B99" s="70" t="str">
        <f>IF(Download!C89="","",Download!C89)</f>
        <v>Departmental Services</v>
      </c>
      <c r="C99" s="45">
        <f>Download!D89</f>
        <v>0</v>
      </c>
      <c r="D99" s="42">
        <f>Download!H89</f>
        <v>1448.45</v>
      </c>
      <c r="E99" s="252"/>
      <c r="F99" s="29" t="str">
        <f t="shared" si="15"/>
        <v>-</v>
      </c>
      <c r="G99" s="36"/>
      <c r="H99" s="36"/>
      <c r="I99" s="253"/>
      <c r="J99" s="47">
        <f t="shared" si="13"/>
        <v>1448.45</v>
      </c>
      <c r="K99" s="37">
        <f t="shared" si="14"/>
        <v>0</v>
      </c>
      <c r="L99" s="43">
        <f>IF(ISERROR(VLOOKUP(A99,'Workings Prior Month'!A:N,10,FALSE))=TRUE,0,(VLOOKUP(A99,'Workings Prior Month'!A:N,10,FALSE)))</f>
        <v>0</v>
      </c>
      <c r="M99" s="43">
        <f>IF(ISERROR(VLOOKUP(A99,'Workings Prior Month'!A:N,11,FALSE))=TRUE,0,(VLOOKUP(A99,'Workings Prior Month'!A:N,11,FALSE)))</f>
        <v>0</v>
      </c>
      <c r="N99" s="49">
        <f t="shared" si="17"/>
        <v>1448.45</v>
      </c>
      <c r="O99" s="137">
        <f>IF(ISERROR(VLOOKUP(A99,'Cross ref Tab'!A:C,3,FALSE)=TRUE),9500,VLOOKUP(A99,'Cross ref Tab'!A:C,3,FALSE))</f>
        <v>2010</v>
      </c>
      <c r="P99" s="137">
        <f>IF(A99="","",COUNTIF('Cross ref Tab'!$A$3:$A$311,A99))</f>
        <v>1</v>
      </c>
      <c r="Q99" s="182">
        <f t="shared" si="16"/>
      </c>
      <c r="R99" s="5">
        <f t="shared" si="18"/>
        <v>0</v>
      </c>
      <c r="S99" s="149">
        <f t="shared" si="19"/>
        <v>-1448.45</v>
      </c>
      <c r="T99" s="149">
        <f t="shared" si="20"/>
        <v>1448.45</v>
      </c>
      <c r="U99" s="150">
        <f t="shared" si="21"/>
        <v>0</v>
      </c>
      <c r="V99" s="5" t="e">
        <f>VLOOKUP(A99,#REF!,7,FALSE)-C99</f>
        <v>#REF!</v>
      </c>
      <c r="W99" s="5" t="e">
        <f>SUMIF(#REF!,A99,#REF!)-C99</f>
        <v>#REF!</v>
      </c>
      <c r="X99" s="5"/>
      <c r="Y99" s="5"/>
      <c r="Z99" s="5"/>
      <c r="AA99" s="5"/>
      <c r="AB99" s="5"/>
      <c r="AC99" s="5"/>
      <c r="AD99" s="5"/>
      <c r="AE99" s="5"/>
      <c r="AF99" s="5"/>
      <c r="AG99" s="5"/>
      <c r="AH99" s="5"/>
      <c r="AI99" s="5"/>
      <c r="AJ99" s="5"/>
      <c r="AK99" s="5"/>
    </row>
    <row r="100" spans="1:37" ht="15" customHeight="1">
      <c r="A100" s="254">
        <f>IF(Download!B90="","",Download!B90)</f>
        <v>505</v>
      </c>
      <c r="B100" s="254" t="str">
        <f>IF(Download!C90="","",Download!C90)</f>
        <v>Exam Fees/Costs</v>
      </c>
      <c r="C100" s="45">
        <f>Download!D90</f>
        <v>140000</v>
      </c>
      <c r="D100" s="42">
        <f>Download!H90</f>
        <v>125208.86</v>
      </c>
      <c r="E100" s="252"/>
      <c r="F100" s="29">
        <f t="shared" si="15"/>
        <v>0.105651</v>
      </c>
      <c r="G100" s="36"/>
      <c r="H100" s="36">
        <v>125208.86</v>
      </c>
      <c r="I100" s="253"/>
      <c r="J100" s="47">
        <f t="shared" si="13"/>
        <v>0</v>
      </c>
      <c r="K100" s="37">
        <f t="shared" si="14"/>
        <v>0</v>
      </c>
      <c r="L100" s="43">
        <f>IF(ISERROR(VLOOKUP(A100,'Workings Prior Month'!A:N,10,FALSE))=TRUE,0,(VLOOKUP(A100,'Workings Prior Month'!A:N,10,FALSE)))</f>
        <v>0</v>
      </c>
      <c r="M100" s="43">
        <f>IF(ISERROR(VLOOKUP(A100,'Workings Prior Month'!A:N,11,FALSE))=TRUE,0,(VLOOKUP(A100,'Workings Prior Month'!A:N,11,FALSE)))</f>
        <v>0</v>
      </c>
      <c r="N100" s="49">
        <f t="shared" si="17"/>
        <v>0</v>
      </c>
      <c r="O100" s="137">
        <f>IF(ISERROR(VLOOKUP(A100,'Cross ref Tab'!A:C,3,FALSE)=TRUE),9500,VLOOKUP(A100,'Cross ref Tab'!A:C,3,FALSE))</f>
        <v>1610</v>
      </c>
      <c r="P100" s="137">
        <f>IF(A100="","",COUNTIF('Cross ref Tab'!$A$3:$A$311,A100))</f>
        <v>1</v>
      </c>
      <c r="Q100" s="182">
        <f t="shared" si="16"/>
      </c>
      <c r="R100" s="5">
        <f t="shared" si="18"/>
        <v>140000</v>
      </c>
      <c r="S100" s="149">
        <f t="shared" si="19"/>
        <v>140000</v>
      </c>
      <c r="T100" s="149">
        <f t="shared" si="20"/>
        <v>0</v>
      </c>
      <c r="U100" s="150">
        <f t="shared" si="21"/>
        <v>0</v>
      </c>
      <c r="V100" s="5" t="e">
        <f>VLOOKUP(A100,#REF!,7,FALSE)-C100</f>
        <v>#REF!</v>
      </c>
      <c r="W100" s="5" t="e">
        <f>SUMIF(#REF!,A100,#REF!)-C100</f>
        <v>#REF!</v>
      </c>
      <c r="X100" s="5"/>
      <c r="Y100" s="5"/>
      <c r="Z100" s="5"/>
      <c r="AA100" s="5"/>
      <c r="AB100" s="5"/>
      <c r="AC100" s="5"/>
      <c r="AD100" s="5"/>
      <c r="AE100" s="5"/>
      <c r="AF100" s="5"/>
      <c r="AG100" s="5"/>
      <c r="AH100" s="5"/>
      <c r="AI100" s="5"/>
      <c r="AJ100" s="5"/>
      <c r="AK100" s="5"/>
    </row>
    <row r="101" spans="1:37" ht="15" customHeight="1">
      <c r="A101" s="70">
        <f>IF(Download!B91="","",Download!B91)</f>
        <v>506</v>
      </c>
      <c r="B101" s="70" t="str">
        <f>IF(Download!C91="","",Download!C91)</f>
        <v>First Aid</v>
      </c>
      <c r="C101" s="45">
        <f>Download!D91</f>
        <v>500</v>
      </c>
      <c r="D101" s="42">
        <f>Download!H91</f>
        <v>301.72</v>
      </c>
      <c r="E101" s="252"/>
      <c r="F101" s="29">
        <f t="shared" si="15"/>
        <v>0.39655999999999997</v>
      </c>
      <c r="G101" s="36"/>
      <c r="H101" s="36">
        <v>301.72</v>
      </c>
      <c r="I101" s="253"/>
      <c r="J101" s="47">
        <f t="shared" si="13"/>
        <v>0</v>
      </c>
      <c r="K101" s="37">
        <f t="shared" si="14"/>
        <v>0</v>
      </c>
      <c r="L101" s="43">
        <f>IF(ISERROR(VLOOKUP(A101,'Workings Prior Month'!A:N,10,FALSE))=TRUE,0,(VLOOKUP(A101,'Workings Prior Month'!A:N,10,FALSE)))</f>
        <v>0</v>
      </c>
      <c r="M101" s="43">
        <f>IF(ISERROR(VLOOKUP(A101,'Workings Prior Month'!A:N,11,FALSE))=TRUE,0,(VLOOKUP(A101,'Workings Prior Month'!A:N,11,FALSE)))</f>
        <v>0</v>
      </c>
      <c r="N101" s="49">
        <f t="shared" si="17"/>
        <v>0</v>
      </c>
      <c r="O101" s="137">
        <f>IF(ISERROR(VLOOKUP(A101,'Cross ref Tab'!A:C,3,FALSE)=TRUE),9500,VLOOKUP(A101,'Cross ref Tab'!A:C,3,FALSE))</f>
        <v>1630</v>
      </c>
      <c r="P101" s="137">
        <f>IF(A101="","",COUNTIF('Cross ref Tab'!$A$3:$A$311,A101))</f>
        <v>1</v>
      </c>
      <c r="Q101" s="182">
        <f t="shared" si="16"/>
      </c>
      <c r="R101" s="5">
        <f t="shared" si="18"/>
        <v>500</v>
      </c>
      <c r="S101" s="149">
        <f t="shared" si="19"/>
        <v>500</v>
      </c>
      <c r="T101" s="149">
        <f t="shared" si="20"/>
        <v>0</v>
      </c>
      <c r="U101" s="150">
        <f t="shared" si="21"/>
        <v>0</v>
      </c>
      <c r="V101" s="5" t="e">
        <f>VLOOKUP(A101,#REF!,7,FALSE)-C101</f>
        <v>#REF!</v>
      </c>
      <c r="W101" s="5" t="e">
        <f>SUMIF(#REF!,A101,#REF!)-C101</f>
        <v>#REF!</v>
      </c>
      <c r="X101" s="5"/>
      <c r="Y101" s="5"/>
      <c r="Z101" s="5"/>
      <c r="AA101" s="5"/>
      <c r="AB101" s="5"/>
      <c r="AC101" s="5"/>
      <c r="AD101" s="5"/>
      <c r="AE101" s="5"/>
      <c r="AF101" s="5"/>
      <c r="AG101" s="5"/>
      <c r="AH101" s="5"/>
      <c r="AI101" s="5"/>
      <c r="AJ101" s="5"/>
      <c r="AK101" s="5"/>
    </row>
    <row r="102" spans="1:37" ht="15" customHeight="1">
      <c r="A102" s="70">
        <f>IF(Download!B92="","",Download!B92)</f>
        <v>509</v>
      </c>
      <c r="B102" s="70" t="str">
        <f>IF(Download!C92="","",Download!C92)</f>
        <v>Jack Petchey Foundation Awards</v>
      </c>
      <c r="C102" s="45">
        <f>Download!D92</f>
        <v>949</v>
      </c>
      <c r="D102" s="42">
        <f>Download!H92</f>
        <v>589.46</v>
      </c>
      <c r="E102" s="252"/>
      <c r="F102" s="29">
        <f t="shared" si="15"/>
        <v>0.3788619599578503</v>
      </c>
      <c r="G102" s="36"/>
      <c r="H102" s="36">
        <v>589.46</v>
      </c>
      <c r="I102" s="253"/>
      <c r="J102" s="47">
        <f t="shared" si="13"/>
        <v>0</v>
      </c>
      <c r="K102" s="37">
        <f t="shared" si="14"/>
        <v>0</v>
      </c>
      <c r="L102" s="43">
        <f>IF(ISERROR(VLOOKUP(A102,'Workings Prior Month'!A:N,10,FALSE))=TRUE,0,(VLOOKUP(A102,'Workings Prior Month'!A:N,10,FALSE)))</f>
        <v>0</v>
      </c>
      <c r="M102" s="43">
        <f>IF(ISERROR(VLOOKUP(A102,'Workings Prior Month'!A:N,11,FALSE))=TRUE,0,(VLOOKUP(A102,'Workings Prior Month'!A:N,11,FALSE)))</f>
        <v>0</v>
      </c>
      <c r="N102" s="49">
        <f t="shared" si="17"/>
        <v>0</v>
      </c>
      <c r="O102" s="137">
        <f>IF(ISERROR(VLOOKUP(A102,'Cross ref Tab'!A:C,3,FALSE)=TRUE),9500,VLOOKUP(A102,'Cross ref Tab'!A:C,3,FALSE))</f>
        <v>1630</v>
      </c>
      <c r="P102" s="137">
        <f>IF(A102="","",COUNTIF('Cross ref Tab'!$A$3:$A$311,A102))</f>
        <v>1</v>
      </c>
      <c r="Q102" s="182">
        <f t="shared" si="16"/>
      </c>
      <c r="R102" s="5">
        <f t="shared" si="18"/>
        <v>949</v>
      </c>
      <c r="S102" s="149">
        <f t="shared" si="19"/>
        <v>949</v>
      </c>
      <c r="T102" s="149">
        <f t="shared" si="20"/>
        <v>0</v>
      </c>
      <c r="U102" s="150">
        <f t="shared" si="21"/>
        <v>0</v>
      </c>
      <c r="V102" s="5" t="e">
        <f>VLOOKUP(A102,#REF!,7,FALSE)-C102</f>
        <v>#REF!</v>
      </c>
      <c r="W102" s="5" t="e">
        <f>SUMIF(#REF!,A102,#REF!)-C102</f>
        <v>#REF!</v>
      </c>
      <c r="X102" s="5"/>
      <c r="Y102" s="5"/>
      <c r="Z102" s="5"/>
      <c r="AA102" s="5"/>
      <c r="AB102" s="5"/>
      <c r="AC102" s="5"/>
      <c r="AD102" s="5"/>
      <c r="AE102" s="5"/>
      <c r="AF102" s="5"/>
      <c r="AG102" s="5"/>
      <c r="AH102" s="5"/>
      <c r="AI102" s="5"/>
      <c r="AJ102" s="5"/>
      <c r="AK102" s="5"/>
    </row>
    <row r="103" spans="1:37" ht="15" customHeight="1">
      <c r="A103" s="70">
        <f>IF(Download!B93="","",Download!B93)</f>
        <v>510</v>
      </c>
      <c r="B103" s="70" t="str">
        <f>IF(Download!C93="","",Download!C93)</f>
        <v>Library</v>
      </c>
      <c r="C103" s="45">
        <f>Download!D93</f>
        <v>1800</v>
      </c>
      <c r="D103" s="42">
        <f>Download!H93</f>
        <v>1357.84</v>
      </c>
      <c r="E103" s="252"/>
      <c r="F103" s="29">
        <f t="shared" si="15"/>
        <v>0.2456444444444445</v>
      </c>
      <c r="G103" s="36"/>
      <c r="H103" s="36">
        <v>1357.84</v>
      </c>
      <c r="I103" s="253"/>
      <c r="J103" s="47">
        <f t="shared" si="13"/>
        <v>0</v>
      </c>
      <c r="K103" s="37">
        <f t="shared" si="14"/>
        <v>0</v>
      </c>
      <c r="L103" s="43">
        <f>IF(ISERROR(VLOOKUP(A103,'Workings Prior Month'!A:N,10,FALSE))=TRUE,0,(VLOOKUP(A103,'Workings Prior Month'!A:N,10,FALSE)))</f>
        <v>0</v>
      </c>
      <c r="M103" s="43">
        <f>IF(ISERROR(VLOOKUP(A103,'Workings Prior Month'!A:N,11,FALSE))=TRUE,0,(VLOOKUP(A103,'Workings Prior Month'!A:N,11,FALSE)))</f>
        <v>0</v>
      </c>
      <c r="N103" s="49">
        <f t="shared" si="17"/>
        <v>0</v>
      </c>
      <c r="O103" s="137">
        <f>IF(ISERROR(VLOOKUP(A103,'Cross ref Tab'!A:C,3,FALSE)=TRUE),9500,VLOOKUP(A103,'Cross ref Tab'!A:C,3,FALSE))</f>
        <v>1600</v>
      </c>
      <c r="P103" s="137">
        <f>IF(A103="","",COUNTIF('Cross ref Tab'!$A$3:$A$311,A103))</f>
        <v>1</v>
      </c>
      <c r="Q103" s="182">
        <f t="shared" si="16"/>
      </c>
      <c r="R103" s="5">
        <f t="shared" si="18"/>
        <v>1800</v>
      </c>
      <c r="S103" s="149">
        <f t="shared" si="19"/>
        <v>1800</v>
      </c>
      <c r="T103" s="149">
        <f t="shared" si="20"/>
        <v>0</v>
      </c>
      <c r="U103" s="150">
        <f t="shared" si="21"/>
        <v>0</v>
      </c>
      <c r="V103" s="5" t="e">
        <f>VLOOKUP(A103,#REF!,7,FALSE)-C103</f>
        <v>#REF!</v>
      </c>
      <c r="W103" s="5" t="e">
        <f>SUMIF(#REF!,A103,#REF!)-C103</f>
        <v>#REF!</v>
      </c>
      <c r="X103" s="5"/>
      <c r="Y103" s="5"/>
      <c r="Z103" s="5"/>
      <c r="AA103" s="5"/>
      <c r="AB103" s="5"/>
      <c r="AC103" s="5"/>
      <c r="AD103" s="5"/>
      <c r="AE103" s="5"/>
      <c r="AF103" s="5"/>
      <c r="AG103" s="5"/>
      <c r="AH103" s="5"/>
      <c r="AI103" s="5"/>
      <c r="AJ103" s="5"/>
      <c r="AK103" s="5"/>
    </row>
    <row r="104" spans="1:37" ht="15" customHeight="1">
      <c r="A104" s="70">
        <f>IF(Download!B94="","",Download!B94)</f>
        <v>513</v>
      </c>
      <c r="B104" s="70" t="str">
        <f>IF(Download!C94="","",Download!C94)</f>
        <v>Minibus Expenditure</v>
      </c>
      <c r="C104" s="45">
        <f>Download!D94</f>
        <v>10000</v>
      </c>
      <c r="D104" s="42">
        <f>Download!H94</f>
        <v>3006.41</v>
      </c>
      <c r="E104" s="252"/>
      <c r="F104" s="29">
        <f t="shared" si="15"/>
        <v>0.6993590000000001</v>
      </c>
      <c r="G104" s="36"/>
      <c r="H104" s="36">
        <v>3006.41</v>
      </c>
      <c r="I104" s="253"/>
      <c r="J104" s="47">
        <f t="shared" si="13"/>
        <v>0</v>
      </c>
      <c r="K104" s="37">
        <f t="shared" si="14"/>
        <v>0</v>
      </c>
      <c r="L104" s="43">
        <f>IF(ISERROR(VLOOKUP(A104,'Workings Prior Month'!A:N,10,FALSE))=TRUE,0,(VLOOKUP(A104,'Workings Prior Month'!A:N,10,FALSE)))</f>
        <v>0</v>
      </c>
      <c r="M104" s="43">
        <f>IF(ISERROR(VLOOKUP(A104,'Workings Prior Month'!A:N,11,FALSE))=TRUE,0,(VLOOKUP(A104,'Workings Prior Month'!A:N,11,FALSE)))</f>
        <v>0</v>
      </c>
      <c r="N104" s="49">
        <f t="shared" si="17"/>
        <v>0</v>
      </c>
      <c r="O104" s="137">
        <f>IF(ISERROR(VLOOKUP(A104,'Cross ref Tab'!A:C,3,FALSE)=TRUE),9500,VLOOKUP(A104,'Cross ref Tab'!A:C,3,FALSE))</f>
        <v>1680</v>
      </c>
      <c r="P104" s="137">
        <f>IF(A104="","",COUNTIF('Cross ref Tab'!$A$3:$A$311,A104))</f>
        <v>1</v>
      </c>
      <c r="Q104" s="182">
        <f t="shared" si="16"/>
      </c>
      <c r="R104" s="5">
        <f t="shared" si="18"/>
        <v>10000</v>
      </c>
      <c r="S104" s="149">
        <f t="shared" si="19"/>
        <v>10000</v>
      </c>
      <c r="T104" s="149">
        <f t="shared" si="20"/>
        <v>0</v>
      </c>
      <c r="U104" s="150">
        <f t="shared" si="21"/>
        <v>0</v>
      </c>
      <c r="V104" s="5" t="e">
        <f>VLOOKUP(A104,#REF!,7,FALSE)-C104</f>
        <v>#REF!</v>
      </c>
      <c r="W104" s="5" t="e">
        <f>SUMIF(#REF!,A104,#REF!)-C104</f>
        <v>#REF!</v>
      </c>
      <c r="X104" s="5"/>
      <c r="Y104" s="5"/>
      <c r="Z104" s="5"/>
      <c r="AA104" s="5"/>
      <c r="AB104" s="5"/>
      <c r="AC104" s="5"/>
      <c r="AD104" s="5"/>
      <c r="AE104" s="5"/>
      <c r="AF104" s="5"/>
      <c r="AG104" s="5"/>
      <c r="AH104" s="5"/>
      <c r="AI104" s="5"/>
      <c r="AJ104" s="5"/>
      <c r="AK104" s="5"/>
    </row>
    <row r="105" spans="1:37" ht="15" customHeight="1">
      <c r="A105" s="70">
        <f>IF(Download!B95="","",Download!B95)</f>
        <v>514</v>
      </c>
      <c r="B105" s="70" t="str">
        <f>IF(Download!C95="","",Download!C95)</f>
        <v>Music Tuition</v>
      </c>
      <c r="C105" s="45">
        <f>Download!D95</f>
        <v>0</v>
      </c>
      <c r="D105" s="42">
        <f>Download!H95</f>
        <v>2111.16</v>
      </c>
      <c r="E105" s="252"/>
      <c r="F105" s="29" t="str">
        <f t="shared" si="15"/>
        <v>-</v>
      </c>
      <c r="G105" s="36"/>
      <c r="H105" s="36">
        <v>2111.16</v>
      </c>
      <c r="I105" s="253"/>
      <c r="J105" s="47">
        <f t="shared" si="13"/>
        <v>0</v>
      </c>
      <c r="K105" s="37">
        <f t="shared" si="14"/>
        <v>0</v>
      </c>
      <c r="L105" s="43">
        <f>IF(ISERROR(VLOOKUP(A105,'Workings Prior Month'!A:N,10,FALSE))=TRUE,0,(VLOOKUP(A105,'Workings Prior Month'!A:N,10,FALSE)))</f>
        <v>0</v>
      </c>
      <c r="M105" s="43">
        <f>IF(ISERROR(VLOOKUP(A105,'Workings Prior Month'!A:N,11,FALSE))=TRUE,0,(VLOOKUP(A105,'Workings Prior Month'!A:N,11,FALSE)))</f>
        <v>0</v>
      </c>
      <c r="N105" s="49">
        <f t="shared" si="17"/>
        <v>0</v>
      </c>
      <c r="O105" s="137">
        <f>IF(ISERROR(VLOOKUP(A105,'Cross ref Tab'!A:C,3,FALSE)=TRUE),9500,VLOOKUP(A105,'Cross ref Tab'!A:C,3,FALSE))</f>
        <v>1600</v>
      </c>
      <c r="P105" s="137">
        <f>IF(A105="","",COUNTIF('Cross ref Tab'!$A$3:$A$311,A105))</f>
        <v>1</v>
      </c>
      <c r="Q105" s="182">
        <f t="shared" si="16"/>
      </c>
      <c r="R105" s="5">
        <f t="shared" si="18"/>
        <v>0</v>
      </c>
      <c r="S105" s="149">
        <f t="shared" si="19"/>
        <v>0</v>
      </c>
      <c r="T105" s="149">
        <f t="shared" si="20"/>
        <v>0</v>
      </c>
      <c r="U105" s="150">
        <f t="shared" si="21"/>
        <v>0</v>
      </c>
      <c r="V105" s="5" t="e">
        <f>VLOOKUP(A105,#REF!,7,FALSE)-C105</f>
        <v>#REF!</v>
      </c>
      <c r="W105" s="5" t="e">
        <f>SUMIF(#REF!,A105,#REF!)-C105</f>
        <v>#REF!</v>
      </c>
      <c r="X105" s="5"/>
      <c r="Y105" s="5"/>
      <c r="Z105" s="5"/>
      <c r="AA105" s="5"/>
      <c r="AB105" s="5"/>
      <c r="AC105" s="5"/>
      <c r="AD105" s="5"/>
      <c r="AE105" s="5"/>
      <c r="AF105" s="5"/>
      <c r="AG105" s="5"/>
      <c r="AH105" s="5"/>
      <c r="AI105" s="5"/>
      <c r="AJ105" s="5"/>
      <c r="AK105" s="5"/>
    </row>
    <row r="106" spans="1:37" ht="15" customHeight="1">
      <c r="A106" s="70">
        <f>IF(Download!B96="","",Download!B96)</f>
        <v>515</v>
      </c>
      <c r="B106" s="70" t="str">
        <f>IF(Download!C96="","",Download!C96)</f>
        <v>Office Expenses-Admin</v>
      </c>
      <c r="C106" s="45">
        <f>Download!D96</f>
        <v>5000</v>
      </c>
      <c r="D106" s="42">
        <f>Download!H96</f>
        <v>2882.16</v>
      </c>
      <c r="E106" s="252"/>
      <c r="F106" s="29">
        <f t="shared" si="15"/>
        <v>0.42356800000000006</v>
      </c>
      <c r="G106" s="36"/>
      <c r="H106" s="36">
        <v>2882.16</v>
      </c>
      <c r="I106" s="36"/>
      <c r="J106" s="47">
        <f t="shared" si="13"/>
        <v>0</v>
      </c>
      <c r="K106" s="37">
        <f t="shared" si="14"/>
        <v>0</v>
      </c>
      <c r="L106" s="43">
        <f>IF(ISERROR(VLOOKUP(A106,'Workings Prior Month'!A:N,10,FALSE))=TRUE,0,(VLOOKUP(A106,'Workings Prior Month'!A:N,10,FALSE)))</f>
        <v>0</v>
      </c>
      <c r="M106" s="43">
        <f>IF(ISERROR(VLOOKUP(A106,'Workings Prior Month'!A:N,11,FALSE))=TRUE,0,(VLOOKUP(A106,'Workings Prior Month'!A:N,11,FALSE)))</f>
        <v>0</v>
      </c>
      <c r="N106" s="49">
        <f t="shared" si="17"/>
        <v>0</v>
      </c>
      <c r="O106" s="137">
        <f>IF(ISERROR(VLOOKUP(A106,'Cross ref Tab'!A:C,3,FALSE)=TRUE),9500,VLOOKUP(A106,'Cross ref Tab'!A:C,3,FALSE))</f>
        <v>1830</v>
      </c>
      <c r="P106" s="137">
        <f>IF(A106="","",COUNTIF('Cross ref Tab'!$A$3:$A$311,A106))</f>
        <v>1</v>
      </c>
      <c r="Q106" s="182">
        <f t="shared" si="16"/>
      </c>
      <c r="R106" s="5">
        <f t="shared" si="18"/>
        <v>5000</v>
      </c>
      <c r="S106" s="149">
        <f t="shared" si="19"/>
        <v>5000</v>
      </c>
      <c r="T106" s="149">
        <f t="shared" si="20"/>
        <v>0</v>
      </c>
      <c r="U106" s="150">
        <f t="shared" si="21"/>
        <v>0</v>
      </c>
      <c r="V106" s="5" t="e">
        <f>VLOOKUP(A106,#REF!,7,FALSE)-C106</f>
        <v>#REF!</v>
      </c>
      <c r="W106" s="5" t="e">
        <f>SUMIF(#REF!,A106,#REF!)-C106</f>
        <v>#REF!</v>
      </c>
      <c r="X106" s="5"/>
      <c r="Y106" s="5"/>
      <c r="Z106" s="5"/>
      <c r="AA106" s="5"/>
      <c r="AB106" s="5"/>
      <c r="AC106" s="5"/>
      <c r="AD106" s="5"/>
      <c r="AE106" s="5"/>
      <c r="AF106" s="5"/>
      <c r="AG106" s="5"/>
      <c r="AH106" s="5"/>
      <c r="AI106" s="5"/>
      <c r="AJ106" s="5"/>
      <c r="AK106" s="5"/>
    </row>
    <row r="107" spans="1:37" ht="15" customHeight="1">
      <c r="A107" s="70">
        <f>IF(Download!B97="","",Download!B97)</f>
        <v>516</v>
      </c>
      <c r="B107" s="290" t="str">
        <f>IF(Download!C97="","",Download!C97)</f>
        <v>Other Income</v>
      </c>
      <c r="C107" s="45">
        <f>Download!D97</f>
        <v>-30600</v>
      </c>
      <c r="D107" s="42">
        <f>Download!H97</f>
        <v>-25896.69</v>
      </c>
      <c r="E107" s="252"/>
      <c r="F107" s="29">
        <f t="shared" si="15"/>
        <v>0.15370294117647063</v>
      </c>
      <c r="G107" s="36">
        <v>25896.69</v>
      </c>
      <c r="H107" s="36"/>
      <c r="I107" s="36" t="s">
        <v>769</v>
      </c>
      <c r="J107" s="47">
        <f t="shared" si="13"/>
        <v>0</v>
      </c>
      <c r="K107" s="37">
        <f t="shared" si="14"/>
        <v>0</v>
      </c>
      <c r="L107" s="43">
        <f>IF(ISERROR(VLOOKUP(A107,'Workings Prior Month'!A:N,10,FALSE))=TRUE,0,(VLOOKUP(A107,'Workings Prior Month'!A:N,10,FALSE)))</f>
        <v>0</v>
      </c>
      <c r="M107" s="43">
        <f>IF(ISERROR(VLOOKUP(A107,'Workings Prior Month'!A:N,11,FALSE))=TRUE,0,(VLOOKUP(A107,'Workings Prior Month'!A:N,11,FALSE)))</f>
        <v>0</v>
      </c>
      <c r="N107" s="49">
        <f t="shared" si="17"/>
        <v>0</v>
      </c>
      <c r="O107" s="137">
        <f>IF(ISERROR(VLOOKUP(A107,'Cross ref Tab'!A:C,3,FALSE)=TRUE),9500,VLOOKUP(A107,'Cross ref Tab'!A:C,3,FALSE))</f>
        <v>5300</v>
      </c>
      <c r="P107" s="137">
        <f>IF(A107="","",COUNTIF('Cross ref Tab'!$A$3:$A$311,A107))</f>
        <v>1</v>
      </c>
      <c r="Q107" s="182">
        <f t="shared" si="16"/>
      </c>
      <c r="R107" s="5">
        <f t="shared" si="18"/>
        <v>-30600</v>
      </c>
      <c r="S107" s="149">
        <f t="shared" si="19"/>
        <v>-30600</v>
      </c>
      <c r="T107" s="149">
        <f t="shared" si="20"/>
        <v>0</v>
      </c>
      <c r="U107" s="150">
        <f t="shared" si="21"/>
        <v>0</v>
      </c>
      <c r="V107" s="5" t="e">
        <f>VLOOKUP(A107,#REF!,7,FALSE)-C107</f>
        <v>#REF!</v>
      </c>
      <c r="W107" s="5" t="e">
        <f>SUMIF(#REF!,A107,#REF!)-C107</f>
        <v>#REF!</v>
      </c>
      <c r="X107" s="5"/>
      <c r="Y107" s="5"/>
      <c r="Z107" s="5"/>
      <c r="AA107" s="5"/>
      <c r="AB107" s="5"/>
      <c r="AC107" s="5"/>
      <c r="AD107" s="5"/>
      <c r="AE107" s="5"/>
      <c r="AF107" s="5"/>
      <c r="AG107" s="5"/>
      <c r="AH107" s="5"/>
      <c r="AI107" s="5"/>
      <c r="AJ107" s="5"/>
      <c r="AK107" s="5"/>
    </row>
    <row r="108" spans="1:37" ht="15" customHeight="1">
      <c r="A108" s="70">
        <f>IF(Download!B98="","",Download!B98)</f>
        <v>517</v>
      </c>
      <c r="B108" s="70" t="str">
        <f>IF(Download!C98="","",Download!C98)</f>
        <v>Hospitality Costs</v>
      </c>
      <c r="C108" s="45">
        <f>Download!D98</f>
        <v>2500</v>
      </c>
      <c r="D108" s="42">
        <f>Download!H98</f>
        <v>1323.92</v>
      </c>
      <c r="E108" s="252"/>
      <c r="F108" s="29">
        <f t="shared" si="15"/>
        <v>0.47043199999999996</v>
      </c>
      <c r="G108" s="36"/>
      <c r="H108" s="36">
        <v>1323.92</v>
      </c>
      <c r="I108" s="253"/>
      <c r="J108" s="47">
        <f t="shared" si="13"/>
        <v>0</v>
      </c>
      <c r="K108" s="37">
        <f t="shared" si="14"/>
        <v>0</v>
      </c>
      <c r="L108" s="43">
        <f>IF(ISERROR(VLOOKUP(A108,'Workings Prior Month'!A:N,10,FALSE))=TRUE,0,(VLOOKUP(A108,'Workings Prior Month'!A:N,10,FALSE)))</f>
        <v>0</v>
      </c>
      <c r="M108" s="43">
        <f>IF(ISERROR(VLOOKUP(A108,'Workings Prior Month'!A:N,11,FALSE))=TRUE,0,(VLOOKUP(A108,'Workings Prior Month'!A:N,11,FALSE)))</f>
        <v>0</v>
      </c>
      <c r="N108" s="49">
        <f t="shared" si="17"/>
        <v>0</v>
      </c>
      <c r="O108" s="137">
        <f>IF(ISERROR(VLOOKUP(A108,'Cross ref Tab'!A:C,3,FALSE)=TRUE),9500,VLOOKUP(A108,'Cross ref Tab'!A:C,3,FALSE))</f>
        <v>2200</v>
      </c>
      <c r="P108" s="137">
        <f>IF(A108="","",COUNTIF('Cross ref Tab'!$A$3:$A$311,A108))</f>
        <v>1</v>
      </c>
      <c r="Q108" s="182">
        <f t="shared" si="16"/>
      </c>
      <c r="R108" s="5">
        <f t="shared" si="18"/>
        <v>2500</v>
      </c>
      <c r="S108" s="149">
        <f t="shared" si="19"/>
        <v>2500</v>
      </c>
      <c r="T108" s="149">
        <f t="shared" si="20"/>
        <v>0</v>
      </c>
      <c r="U108" s="150">
        <f t="shared" si="21"/>
        <v>0</v>
      </c>
      <c r="V108" s="5" t="e">
        <f>VLOOKUP(A108,#REF!,7,FALSE)-C108</f>
        <v>#REF!</v>
      </c>
      <c r="W108" s="5" t="e">
        <f>SUMIF(#REF!,A108,#REF!)-C108</f>
        <v>#REF!</v>
      </c>
      <c r="X108" s="5"/>
      <c r="Y108" s="5"/>
      <c r="Z108" s="5"/>
      <c r="AA108" s="5"/>
      <c r="AB108" s="5"/>
      <c r="AC108" s="5"/>
      <c r="AD108" s="5"/>
      <c r="AE108" s="5"/>
      <c r="AF108" s="5"/>
      <c r="AG108" s="5"/>
      <c r="AH108" s="5"/>
      <c r="AI108" s="5"/>
      <c r="AJ108" s="5"/>
      <c r="AK108" s="5"/>
    </row>
    <row r="109" spans="1:37" ht="15" customHeight="1">
      <c r="A109" s="70">
        <f>IF(Download!B99="","",Download!B99)</f>
        <v>518</v>
      </c>
      <c r="B109" s="70" t="str">
        <f>IF(Download!C99="","",Download!C99)</f>
        <v>Postage</v>
      </c>
      <c r="C109" s="45">
        <f>Download!D99</f>
        <v>6000</v>
      </c>
      <c r="D109" s="42">
        <f>Download!H99</f>
        <v>292.05</v>
      </c>
      <c r="E109" s="252"/>
      <c r="F109" s="29">
        <f t="shared" si="15"/>
        <v>0.951325</v>
      </c>
      <c r="G109" s="36"/>
      <c r="H109" s="36">
        <v>292.05</v>
      </c>
      <c r="I109" s="57"/>
      <c r="J109" s="47">
        <f t="shared" si="13"/>
        <v>0</v>
      </c>
      <c r="K109" s="37">
        <f t="shared" si="14"/>
        <v>0</v>
      </c>
      <c r="L109" s="43">
        <f>IF(ISERROR(VLOOKUP(A109,'Workings Prior Month'!A:N,10,FALSE))=TRUE,0,(VLOOKUP(A109,'Workings Prior Month'!A:N,10,FALSE)))</f>
        <v>0</v>
      </c>
      <c r="M109" s="43">
        <f>IF(ISERROR(VLOOKUP(A109,'Workings Prior Month'!A:N,11,FALSE))=TRUE,0,(VLOOKUP(A109,'Workings Prior Month'!A:N,11,FALSE)))</f>
        <v>0</v>
      </c>
      <c r="N109" s="49">
        <f t="shared" si="17"/>
        <v>0</v>
      </c>
      <c r="O109" s="137">
        <f>IF(ISERROR(VLOOKUP(A109,'Cross ref Tab'!A:C,3,FALSE)=TRUE),9500,VLOOKUP(A109,'Cross ref Tab'!A:C,3,FALSE))</f>
        <v>1830</v>
      </c>
      <c r="P109" s="137">
        <f>IF(A109="","",COUNTIF('Cross ref Tab'!$A$3:$A$311,A109))</f>
        <v>1</v>
      </c>
      <c r="Q109" s="182">
        <f t="shared" si="16"/>
      </c>
      <c r="R109" s="5">
        <f t="shared" si="18"/>
        <v>6000</v>
      </c>
      <c r="S109" s="149">
        <f t="shared" si="19"/>
        <v>6000</v>
      </c>
      <c r="T109" s="149">
        <f t="shared" si="20"/>
        <v>0</v>
      </c>
      <c r="U109" s="150">
        <f t="shared" si="21"/>
        <v>0</v>
      </c>
      <c r="V109" s="5" t="e">
        <f>VLOOKUP(A109,#REF!,7,FALSE)-C109</f>
        <v>#REF!</v>
      </c>
      <c r="W109" s="5" t="e">
        <f>SUMIF(#REF!,A109,#REF!)-C109</f>
        <v>#REF!</v>
      </c>
      <c r="X109" s="5"/>
      <c r="Y109" s="5"/>
      <c r="Z109" s="5"/>
      <c r="AA109" s="5"/>
      <c r="AB109" s="5"/>
      <c r="AC109" s="5"/>
      <c r="AD109" s="5"/>
      <c r="AE109" s="5"/>
      <c r="AF109" s="5"/>
      <c r="AG109" s="5"/>
      <c r="AH109" s="5"/>
      <c r="AI109" s="5"/>
      <c r="AJ109" s="5"/>
      <c r="AK109" s="5"/>
    </row>
    <row r="110" spans="1:37" ht="15" customHeight="1">
      <c r="A110" s="70">
        <f>IF(Download!B100="","",Download!B100)</f>
        <v>519</v>
      </c>
      <c r="B110" s="70" t="str">
        <f>IF(Download!C100="","",Download!C100)</f>
        <v>Professional Fees-School</v>
      </c>
      <c r="C110" s="45">
        <f>Download!D100</f>
        <v>35000</v>
      </c>
      <c r="D110" s="42">
        <f>Download!H100</f>
        <v>-849.39</v>
      </c>
      <c r="E110" s="252"/>
      <c r="F110" s="29">
        <f t="shared" si="15"/>
        <v>1.0242682857142857</v>
      </c>
      <c r="G110" s="36"/>
      <c r="H110" s="36"/>
      <c r="I110" s="253"/>
      <c r="J110" s="47">
        <f t="shared" si="13"/>
        <v>0</v>
      </c>
      <c r="K110" s="37">
        <f t="shared" si="14"/>
        <v>849.39</v>
      </c>
      <c r="L110" s="43">
        <f>IF(ISERROR(VLOOKUP(A110,'Workings Prior Month'!A:N,10,FALSE))=TRUE,0,(VLOOKUP(A110,'Workings Prior Month'!A:N,10,FALSE)))</f>
        <v>0</v>
      </c>
      <c r="M110" s="43">
        <f>IF(ISERROR(VLOOKUP(A110,'Workings Prior Month'!A:N,11,FALSE))=TRUE,0,(VLOOKUP(A110,'Workings Prior Month'!A:N,11,FALSE)))</f>
        <v>1.39</v>
      </c>
      <c r="N110" s="49">
        <f t="shared" si="17"/>
        <v>-848</v>
      </c>
      <c r="O110" s="137">
        <f>IF(ISERROR(VLOOKUP(A110,'Cross ref Tab'!A:C,3,FALSE)=TRUE),9500,VLOOKUP(A110,'Cross ref Tab'!A:C,3,FALSE))</f>
        <v>1820</v>
      </c>
      <c r="P110" s="137">
        <f>IF(A110="","",COUNTIF('Cross ref Tab'!$A$3:$A$311,A110))</f>
        <v>1</v>
      </c>
      <c r="Q110" s="182">
        <f t="shared" si="16"/>
      </c>
      <c r="R110" s="5">
        <f t="shared" si="18"/>
        <v>35000</v>
      </c>
      <c r="S110" s="149">
        <f t="shared" si="19"/>
        <v>35849.39</v>
      </c>
      <c r="T110" s="149">
        <f t="shared" si="20"/>
        <v>-849.3899999999994</v>
      </c>
      <c r="U110" s="150">
        <f t="shared" si="21"/>
        <v>-1.389999999999418</v>
      </c>
      <c r="V110" s="5" t="e">
        <f>VLOOKUP(A110,#REF!,7,FALSE)-C110</f>
        <v>#REF!</v>
      </c>
      <c r="W110" s="5" t="e">
        <f>SUMIF(#REF!,A110,#REF!)-C110</f>
        <v>#REF!</v>
      </c>
      <c r="X110" s="5"/>
      <c r="Y110" s="5"/>
      <c r="Z110" s="5"/>
      <c r="AA110" s="5"/>
      <c r="AB110" s="5"/>
      <c r="AC110" s="5"/>
      <c r="AD110" s="5"/>
      <c r="AE110" s="5"/>
      <c r="AF110" s="5"/>
      <c r="AG110" s="5"/>
      <c r="AH110" s="5"/>
      <c r="AI110" s="5"/>
      <c r="AJ110" s="5"/>
      <c r="AK110" s="5"/>
    </row>
    <row r="111" spans="1:37" ht="15" customHeight="1">
      <c r="A111" s="70">
        <f>IF(Download!B101="","",Download!B101)</f>
        <v>520</v>
      </c>
      <c r="B111" s="70" t="str">
        <f>IF(Download!C101="","",Download!C101)</f>
        <v>Pupil Travel</v>
      </c>
      <c r="C111" s="45">
        <f>Download!D101</f>
        <v>0</v>
      </c>
      <c r="D111" s="42">
        <f>Download!H101</f>
        <v>246</v>
      </c>
      <c r="E111" s="252"/>
      <c r="F111" s="29" t="str">
        <f t="shared" si="15"/>
        <v>-</v>
      </c>
      <c r="G111" s="36"/>
      <c r="H111" s="36"/>
      <c r="I111" s="253"/>
      <c r="J111" s="47">
        <f t="shared" si="13"/>
        <v>246</v>
      </c>
      <c r="K111" s="37">
        <f t="shared" si="14"/>
        <v>0</v>
      </c>
      <c r="L111" s="43">
        <f>IF(ISERROR(VLOOKUP(A111,'Workings Prior Month'!A:N,10,FALSE))=TRUE,0,(VLOOKUP(A111,'Workings Prior Month'!A:N,10,FALSE)))</f>
        <v>108</v>
      </c>
      <c r="M111" s="43">
        <f>IF(ISERROR(VLOOKUP(A111,'Workings Prior Month'!A:N,11,FALSE))=TRUE,0,(VLOOKUP(A111,'Workings Prior Month'!A:N,11,FALSE)))</f>
        <v>0</v>
      </c>
      <c r="N111" s="49">
        <f t="shared" si="17"/>
        <v>138</v>
      </c>
      <c r="O111" s="137">
        <f>IF(ISERROR(VLOOKUP(A111,'Cross ref Tab'!A:C,3,FALSE)=TRUE),9500,VLOOKUP(A111,'Cross ref Tab'!A:C,3,FALSE))</f>
        <v>1680</v>
      </c>
      <c r="P111" s="137">
        <f>IF(A111="","",COUNTIF('Cross ref Tab'!$A$3:$A$311,A111))</f>
        <v>1</v>
      </c>
      <c r="Q111" s="182">
        <f t="shared" si="16"/>
      </c>
      <c r="R111" s="5">
        <f t="shared" si="18"/>
        <v>0</v>
      </c>
      <c r="S111" s="149">
        <f t="shared" si="19"/>
        <v>-246</v>
      </c>
      <c r="T111" s="149">
        <f t="shared" si="20"/>
        <v>246</v>
      </c>
      <c r="U111" s="150">
        <f t="shared" si="21"/>
        <v>108</v>
      </c>
      <c r="V111" s="5" t="e">
        <f>VLOOKUP(A111,#REF!,7,FALSE)-C111</f>
        <v>#REF!</v>
      </c>
      <c r="W111" s="5" t="e">
        <f>SUMIF(#REF!,A111,#REF!)-C111</f>
        <v>#REF!</v>
      </c>
      <c r="X111" s="5"/>
      <c r="Y111" s="5"/>
      <c r="Z111" s="5"/>
      <c r="AA111" s="5"/>
      <c r="AB111" s="5"/>
      <c r="AC111" s="5"/>
      <c r="AD111" s="5"/>
      <c r="AE111" s="5"/>
      <c r="AF111" s="5"/>
      <c r="AG111" s="5"/>
      <c r="AH111" s="5"/>
      <c r="AI111" s="5"/>
      <c r="AJ111" s="5"/>
      <c r="AK111" s="5"/>
    </row>
    <row r="112" spans="1:37" ht="15" customHeight="1">
      <c r="A112" s="73">
        <f>IF(Download!B102="","",Download!B102)</f>
        <v>522</v>
      </c>
      <c r="B112" s="70" t="str">
        <f>IF(Download!C102="","",Download!C102)</f>
        <v>Irrecoverable VAT</v>
      </c>
      <c r="C112" s="45">
        <f>Download!D102</f>
        <v>2000</v>
      </c>
      <c r="D112" s="42">
        <f>Download!H102</f>
        <v>1389.52</v>
      </c>
      <c r="E112" s="252"/>
      <c r="F112" s="29">
        <f t="shared" si="15"/>
        <v>0.30524</v>
      </c>
      <c r="G112" s="36"/>
      <c r="H112" s="36">
        <v>1389.52</v>
      </c>
      <c r="I112" s="253"/>
      <c r="J112" s="47">
        <f t="shared" si="13"/>
        <v>0</v>
      </c>
      <c r="K112" s="37">
        <f t="shared" si="14"/>
        <v>0</v>
      </c>
      <c r="L112" s="43">
        <f>IF(ISERROR(VLOOKUP(A112,'Workings Prior Month'!A:N,10,FALSE))=TRUE,0,(VLOOKUP(A112,'Workings Prior Month'!A:N,10,FALSE)))</f>
        <v>0</v>
      </c>
      <c r="M112" s="43">
        <f>IF(ISERROR(VLOOKUP(A112,'Workings Prior Month'!A:N,11,FALSE))=TRUE,0,(VLOOKUP(A112,'Workings Prior Month'!A:N,11,FALSE)))</f>
        <v>0</v>
      </c>
      <c r="N112" s="49">
        <f t="shared" si="17"/>
        <v>0</v>
      </c>
      <c r="O112" s="137">
        <f>IF(ISERROR(VLOOKUP(A112,'Cross ref Tab'!A:C,3,FALSE)=TRUE),9500,VLOOKUP(A112,'Cross ref Tab'!A:C,3,FALSE))</f>
        <v>2230</v>
      </c>
      <c r="P112" s="137">
        <f>IF(A112="","",COUNTIF('Cross ref Tab'!$A$3:$A$311,A112))</f>
        <v>1</v>
      </c>
      <c r="Q112" s="182">
        <f t="shared" si="16"/>
      </c>
      <c r="R112" s="5">
        <f t="shared" si="18"/>
        <v>2000</v>
      </c>
      <c r="S112" s="149">
        <f t="shared" si="19"/>
        <v>2000</v>
      </c>
      <c r="T112" s="149">
        <f t="shared" si="20"/>
        <v>0</v>
      </c>
      <c r="U112" s="150">
        <f t="shared" si="21"/>
        <v>0</v>
      </c>
      <c r="V112" s="5" t="e">
        <f>VLOOKUP(A112,#REF!,7,FALSE)-C112</f>
        <v>#REF!</v>
      </c>
      <c r="W112" s="5" t="e">
        <f>SUMIF(#REF!,A112,#REF!)-C112</f>
        <v>#REF!</v>
      </c>
      <c r="X112" s="5"/>
      <c r="Y112" s="5"/>
      <c r="Z112" s="5"/>
      <c r="AA112" s="5"/>
      <c r="AB112" s="5"/>
      <c r="AC112" s="5"/>
      <c r="AD112" s="5"/>
      <c r="AE112" s="5"/>
      <c r="AF112" s="5"/>
      <c r="AG112" s="5"/>
      <c r="AH112" s="5"/>
      <c r="AI112" s="5"/>
      <c r="AJ112" s="5"/>
      <c r="AK112" s="5"/>
    </row>
    <row r="113" spans="1:37" ht="15" customHeight="1">
      <c r="A113" s="70">
        <f>IF(Download!B103="","",Download!B103)</f>
        <v>526</v>
      </c>
      <c r="B113" s="70" t="str">
        <f>IF(Download!C103="","",Download!C103)</f>
        <v>Staff Recruitment/ Advertising</v>
      </c>
      <c r="C113" s="45">
        <f>Download!D103</f>
        <v>4000</v>
      </c>
      <c r="D113" s="42">
        <f>Download!H103</f>
        <v>2823.25</v>
      </c>
      <c r="E113" s="252"/>
      <c r="F113" s="29">
        <f t="shared" si="15"/>
        <v>0.2941875</v>
      </c>
      <c r="G113" s="36"/>
      <c r="H113" s="36">
        <v>2823.25</v>
      </c>
      <c r="I113" s="36"/>
      <c r="J113" s="47">
        <f t="shared" si="13"/>
        <v>0</v>
      </c>
      <c r="K113" s="37">
        <f t="shared" si="14"/>
        <v>0</v>
      </c>
      <c r="L113" s="43">
        <f>IF(ISERROR(VLOOKUP(A113,'Workings Prior Month'!A:N,10,FALSE))=TRUE,0,(VLOOKUP(A113,'Workings Prior Month'!A:N,10,FALSE)))</f>
        <v>0</v>
      </c>
      <c r="M113" s="43">
        <f>IF(ISERROR(VLOOKUP(A113,'Workings Prior Month'!A:N,11,FALSE))=TRUE,0,(VLOOKUP(A113,'Workings Prior Month'!A:N,11,FALSE)))</f>
        <v>0</v>
      </c>
      <c r="N113" s="49">
        <f t="shared" si="17"/>
        <v>0</v>
      </c>
      <c r="O113" s="137">
        <f>IF(ISERROR(VLOOKUP(A113,'Cross ref Tab'!A:C,3,FALSE)=TRUE),9500,VLOOKUP(A113,'Cross ref Tab'!A:C,3,FALSE))</f>
        <v>2200</v>
      </c>
      <c r="P113" s="137">
        <f>IF(A113="","",COUNTIF('Cross ref Tab'!$A$3:$A$311,A113))</f>
        <v>1</v>
      </c>
      <c r="Q113" s="182">
        <f t="shared" si="16"/>
      </c>
      <c r="R113" s="5">
        <f t="shared" si="18"/>
        <v>4000</v>
      </c>
      <c r="S113" s="149">
        <f t="shared" si="19"/>
        <v>4000</v>
      </c>
      <c r="T113" s="149">
        <f t="shared" si="20"/>
        <v>0</v>
      </c>
      <c r="U113" s="150">
        <f t="shared" si="21"/>
        <v>0</v>
      </c>
      <c r="V113" s="5" t="e">
        <f>VLOOKUP(A113,#REF!,7,FALSE)-C113</f>
        <v>#REF!</v>
      </c>
      <c r="W113" s="5" t="e">
        <f>SUMIF(#REF!,A113,#REF!)-C113</f>
        <v>#REF!</v>
      </c>
      <c r="X113" s="5"/>
      <c r="Y113" s="5"/>
      <c r="Z113" s="5"/>
      <c r="AA113" s="5"/>
      <c r="AB113" s="5"/>
      <c r="AC113" s="5"/>
      <c r="AD113" s="5"/>
      <c r="AE113" s="5"/>
      <c r="AF113" s="5"/>
      <c r="AG113" s="5"/>
      <c r="AH113" s="5"/>
      <c r="AI113" s="5"/>
      <c r="AJ113" s="5"/>
      <c r="AK113" s="5"/>
    </row>
    <row r="114" spans="1:37" ht="15" customHeight="1">
      <c r="A114" s="70">
        <f>IF(Download!B104="","",Download!B104)</f>
        <v>527</v>
      </c>
      <c r="B114" s="70" t="str">
        <f>IF(Download!C104="","",Download!C104)</f>
        <v>Marketing-Headteacher</v>
      </c>
      <c r="C114" s="45">
        <f>Download!D104</f>
        <v>14926</v>
      </c>
      <c r="D114" s="42">
        <f>Download!H104</f>
        <v>9156.42</v>
      </c>
      <c r="E114" s="252"/>
      <c r="F114" s="29">
        <f t="shared" si="15"/>
        <v>0.38654562508374646</v>
      </c>
      <c r="G114" s="36"/>
      <c r="H114" s="36">
        <v>9156.42</v>
      </c>
      <c r="I114" s="36"/>
      <c r="J114" s="47">
        <f t="shared" si="13"/>
        <v>0</v>
      </c>
      <c r="K114" s="37">
        <f t="shared" si="14"/>
        <v>0</v>
      </c>
      <c r="L114" s="43">
        <f>IF(ISERROR(VLOOKUP(A114,'Workings Prior Month'!A:N,10,FALSE))=TRUE,0,(VLOOKUP(A114,'Workings Prior Month'!A:N,10,FALSE)))</f>
        <v>0</v>
      </c>
      <c r="M114" s="43">
        <f>IF(ISERROR(VLOOKUP(A114,'Workings Prior Month'!A:N,11,FALSE))=TRUE,0,(VLOOKUP(A114,'Workings Prior Month'!A:N,11,FALSE)))</f>
        <v>0</v>
      </c>
      <c r="N114" s="49">
        <f t="shared" si="17"/>
        <v>0</v>
      </c>
      <c r="O114" s="137">
        <f>IF(ISERROR(VLOOKUP(A114,'Cross ref Tab'!A:C,3,FALSE)=TRUE),9500,VLOOKUP(A114,'Cross ref Tab'!A:C,3,FALSE))</f>
        <v>1620</v>
      </c>
      <c r="P114" s="137">
        <f>IF(A114="","",COUNTIF('Cross ref Tab'!$A$3:$A$311,A114))</f>
        <v>1</v>
      </c>
      <c r="Q114" s="182">
        <f t="shared" si="16"/>
      </c>
      <c r="R114" s="5">
        <f t="shared" si="18"/>
        <v>14926</v>
      </c>
      <c r="S114" s="149">
        <f t="shared" si="19"/>
        <v>14926</v>
      </c>
      <c r="T114" s="149">
        <f t="shared" si="20"/>
        <v>0</v>
      </c>
      <c r="U114" s="150">
        <f t="shared" si="21"/>
        <v>0</v>
      </c>
      <c r="V114" s="5" t="e">
        <f>VLOOKUP(A114,#REF!,7,FALSE)-C114</f>
        <v>#REF!</v>
      </c>
      <c r="W114" s="5" t="e">
        <f>SUMIF(#REF!,A114,#REF!)-C114</f>
        <v>#REF!</v>
      </c>
      <c r="X114" s="5"/>
      <c r="Y114" s="5"/>
      <c r="Z114" s="5"/>
      <c r="AA114" s="5"/>
      <c r="AB114" s="5"/>
      <c r="AC114" s="5"/>
      <c r="AD114" s="5"/>
      <c r="AE114" s="5"/>
      <c r="AF114" s="5"/>
      <c r="AG114" s="5"/>
      <c r="AH114" s="5"/>
      <c r="AI114" s="5"/>
      <c r="AJ114" s="5"/>
      <c r="AK114" s="5"/>
    </row>
    <row r="115" spans="1:37" ht="15" customHeight="1">
      <c r="A115" s="70">
        <f>IF(Download!B105="","",Download!B105)</f>
        <v>531</v>
      </c>
      <c r="B115" s="70" t="str">
        <f>IF(Download!C105="","",Download!C105)</f>
        <v>Pupil Exclusion/Referral</v>
      </c>
      <c r="C115" s="45">
        <f>Download!D105</f>
        <v>0</v>
      </c>
      <c r="D115" s="42">
        <f>Download!H105</f>
        <v>0</v>
      </c>
      <c r="E115" s="252"/>
      <c r="F115" s="29" t="str">
        <f t="shared" si="15"/>
        <v>-</v>
      </c>
      <c r="G115" s="36"/>
      <c r="H115" s="36"/>
      <c r="I115" s="36"/>
      <c r="J115" s="47">
        <f t="shared" si="13"/>
        <v>0</v>
      </c>
      <c r="K115" s="37">
        <f t="shared" si="14"/>
        <v>0</v>
      </c>
      <c r="L115" s="43">
        <f>IF(ISERROR(VLOOKUP(A115,'Workings Prior Month'!A:N,10,FALSE))=TRUE,0,(VLOOKUP(A115,'Workings Prior Month'!A:N,10,FALSE)))</f>
        <v>0</v>
      </c>
      <c r="M115" s="43">
        <f>IF(ISERROR(VLOOKUP(A115,'Workings Prior Month'!A:N,11,FALSE))=TRUE,0,(VLOOKUP(A115,'Workings Prior Month'!A:N,11,FALSE)))</f>
        <v>0</v>
      </c>
      <c r="N115" s="49">
        <f t="shared" si="17"/>
        <v>0</v>
      </c>
      <c r="O115" s="137">
        <f>IF(ISERROR(VLOOKUP(A115,'Cross ref Tab'!A:C,3,FALSE)=TRUE),9500,VLOOKUP(A115,'Cross ref Tab'!A:C,3,FALSE))</f>
        <v>1640</v>
      </c>
      <c r="P115" s="137">
        <f>IF(A115="","",COUNTIF('Cross ref Tab'!$A$3:$A$311,A115))</f>
        <v>1</v>
      </c>
      <c r="Q115" s="182">
        <f t="shared" si="16"/>
      </c>
      <c r="R115" s="5">
        <f t="shared" si="18"/>
        <v>0</v>
      </c>
      <c r="S115" s="149">
        <f t="shared" si="19"/>
        <v>0</v>
      </c>
      <c r="T115" s="149">
        <f t="shared" si="20"/>
        <v>0</v>
      </c>
      <c r="U115" s="150">
        <f t="shared" si="21"/>
        <v>0</v>
      </c>
      <c r="V115" s="5" t="e">
        <f>VLOOKUP(A115,#REF!,7,FALSE)-C115</f>
        <v>#REF!</v>
      </c>
      <c r="W115" s="5" t="e">
        <f>SUMIF(#REF!,A115,#REF!)-C115</f>
        <v>#REF!</v>
      </c>
      <c r="X115" s="5"/>
      <c r="Y115" s="5"/>
      <c r="Z115" s="5"/>
      <c r="AA115" s="5"/>
      <c r="AB115" s="5"/>
      <c r="AC115" s="5"/>
      <c r="AD115" s="5"/>
      <c r="AE115" s="5"/>
      <c r="AF115" s="5"/>
      <c r="AG115" s="5"/>
      <c r="AH115" s="5"/>
      <c r="AI115" s="5"/>
      <c r="AJ115" s="5"/>
      <c r="AK115" s="5"/>
    </row>
    <row r="116" spans="1:37" ht="15" customHeight="1">
      <c r="A116" s="70">
        <f>IF(Download!B106="","",Download!B106)</f>
        <v>536</v>
      </c>
      <c r="B116" s="70" t="str">
        <f>IF(Download!C106="","",Download!C106)</f>
        <v>Field Study Support</v>
      </c>
      <c r="C116" s="45">
        <f>Download!D106</f>
        <v>450</v>
      </c>
      <c r="D116" s="42">
        <f>Download!H106</f>
        <v>450</v>
      </c>
      <c r="E116" s="252"/>
      <c r="F116" s="29">
        <f t="shared" si="15"/>
        <v>0</v>
      </c>
      <c r="G116" s="36"/>
      <c r="H116" s="36">
        <v>450</v>
      </c>
      <c r="I116" s="253"/>
      <c r="J116" s="47">
        <f t="shared" si="13"/>
        <v>0</v>
      </c>
      <c r="K116" s="37">
        <f t="shared" si="14"/>
        <v>0</v>
      </c>
      <c r="L116" s="43">
        <f>IF(ISERROR(VLOOKUP(A116,'Workings Prior Month'!A:N,10,FALSE))=TRUE,0,(VLOOKUP(A116,'Workings Prior Month'!A:N,10,FALSE)))</f>
        <v>0</v>
      </c>
      <c r="M116" s="43">
        <f>IF(ISERROR(VLOOKUP(A116,'Workings Prior Month'!A:N,11,FALSE))=TRUE,0,(VLOOKUP(A116,'Workings Prior Month'!A:N,11,FALSE)))</f>
        <v>0</v>
      </c>
      <c r="N116" s="49">
        <f t="shared" si="17"/>
        <v>0</v>
      </c>
      <c r="O116" s="137">
        <f>IF(ISERROR(VLOOKUP(A116,'Cross ref Tab'!A:C,3,FALSE)=TRUE),9500,VLOOKUP(A116,'Cross ref Tab'!A:C,3,FALSE))</f>
        <v>1640</v>
      </c>
      <c r="P116" s="137">
        <f>IF(A116="","",COUNTIF('Cross ref Tab'!$A$3:$A$311,A116))</f>
        <v>1</v>
      </c>
      <c r="Q116" s="182">
        <f t="shared" si="16"/>
      </c>
      <c r="R116" s="5">
        <f t="shared" si="18"/>
        <v>450</v>
      </c>
      <c r="S116" s="149">
        <f t="shared" si="19"/>
        <v>450</v>
      </c>
      <c r="T116" s="149">
        <f t="shared" si="20"/>
        <v>0</v>
      </c>
      <c r="U116" s="150">
        <f t="shared" si="21"/>
        <v>0</v>
      </c>
      <c r="V116" s="5" t="e">
        <f>VLOOKUP(A116,#REF!,7,FALSE)-C116</f>
        <v>#REF!</v>
      </c>
      <c r="W116" s="5" t="e">
        <f>SUMIF(#REF!,A116,#REF!)-C116</f>
        <v>#REF!</v>
      </c>
      <c r="X116" s="5"/>
      <c r="Y116" s="5"/>
      <c r="Z116" s="5"/>
      <c r="AA116" s="5"/>
      <c r="AB116" s="5"/>
      <c r="AC116" s="5"/>
      <c r="AD116" s="5"/>
      <c r="AE116" s="5"/>
      <c r="AF116" s="5"/>
      <c r="AG116" s="5"/>
      <c r="AH116" s="5"/>
      <c r="AI116" s="5"/>
      <c r="AJ116" s="5"/>
      <c r="AK116" s="5"/>
    </row>
    <row r="117" spans="1:37" ht="15" customHeight="1">
      <c r="A117" s="70">
        <f>IF(Download!B107="","",Download!B107)</f>
        <v>539</v>
      </c>
      <c r="B117" s="70" t="str">
        <f>IF(Download!C107="","",Download!C107)</f>
        <v>Alternative Education-JIC</v>
      </c>
      <c r="C117" s="45">
        <f>Download!D107</f>
        <v>38500</v>
      </c>
      <c r="D117" s="42">
        <f>Download!H107</f>
        <v>3187.79</v>
      </c>
      <c r="E117" s="252"/>
      <c r="F117" s="29">
        <f t="shared" si="15"/>
        <v>0.9172002597402598</v>
      </c>
      <c r="G117" s="36"/>
      <c r="H117" s="36">
        <v>3187.79</v>
      </c>
      <c r="I117" s="253"/>
      <c r="J117" s="47">
        <f t="shared" si="13"/>
        <v>0</v>
      </c>
      <c r="K117" s="37">
        <f t="shared" si="14"/>
        <v>0</v>
      </c>
      <c r="L117" s="43">
        <f>IF(ISERROR(VLOOKUP(A117,'Workings Prior Month'!A:N,10,FALSE))=TRUE,0,(VLOOKUP(A117,'Workings Prior Month'!A:N,10,FALSE)))</f>
        <v>0</v>
      </c>
      <c r="M117" s="43">
        <f>IF(ISERROR(VLOOKUP(A117,'Workings Prior Month'!A:N,11,FALSE))=TRUE,0,(VLOOKUP(A117,'Workings Prior Month'!A:N,11,FALSE)))</f>
        <v>0</v>
      </c>
      <c r="N117" s="49">
        <f t="shared" si="17"/>
        <v>0</v>
      </c>
      <c r="O117" s="137">
        <f>IF(ISERROR(VLOOKUP(A117,'Cross ref Tab'!A:C,3,FALSE)=TRUE),9500,VLOOKUP(A117,'Cross ref Tab'!A:C,3,FALSE))</f>
        <v>1650</v>
      </c>
      <c r="P117" s="137">
        <f>IF(A117="","",COUNTIF('Cross ref Tab'!$A$3:$A$311,A117))</f>
        <v>1</v>
      </c>
      <c r="Q117" s="182">
        <f t="shared" si="16"/>
      </c>
      <c r="R117" s="5">
        <f t="shared" si="18"/>
        <v>38500</v>
      </c>
      <c r="S117" s="149">
        <f t="shared" si="19"/>
        <v>38500</v>
      </c>
      <c r="T117" s="149">
        <f t="shared" si="20"/>
        <v>0</v>
      </c>
      <c r="U117" s="150">
        <f t="shared" si="21"/>
        <v>0</v>
      </c>
      <c r="V117" s="5" t="e">
        <f>VLOOKUP(A117,#REF!,7,FALSE)-C117</f>
        <v>#REF!</v>
      </c>
      <c r="W117" s="5" t="e">
        <f>SUMIF(#REF!,A117,#REF!)-C117</f>
        <v>#REF!</v>
      </c>
      <c r="X117" s="5"/>
      <c r="Y117" s="5"/>
      <c r="Z117" s="5"/>
      <c r="AA117" s="5"/>
      <c r="AB117" s="5"/>
      <c r="AC117" s="5"/>
      <c r="AD117" s="5"/>
      <c r="AE117" s="5"/>
      <c r="AF117" s="5"/>
      <c r="AG117" s="5"/>
      <c r="AH117" s="5"/>
      <c r="AI117" s="5"/>
      <c r="AJ117" s="5"/>
      <c r="AK117" s="5"/>
    </row>
    <row r="118" spans="1:37" ht="15" customHeight="1">
      <c r="A118" s="70">
        <f>IF(Download!B108="","",Download!B108)</f>
        <v>540</v>
      </c>
      <c r="B118" s="70" t="str">
        <f>IF(Download!C108="","",Download!C108)</f>
        <v>Catering Income</v>
      </c>
      <c r="C118" s="45">
        <f>Download!D108</f>
        <v>0</v>
      </c>
      <c r="D118" s="42">
        <f>Download!H108</f>
        <v>0</v>
      </c>
      <c r="E118" s="252"/>
      <c r="F118" s="29" t="str">
        <f t="shared" si="15"/>
        <v>-</v>
      </c>
      <c r="G118" s="36"/>
      <c r="H118" s="36"/>
      <c r="I118" s="36"/>
      <c r="J118" s="47">
        <f t="shared" si="13"/>
        <v>0</v>
      </c>
      <c r="K118" s="37">
        <f t="shared" si="14"/>
        <v>0</v>
      </c>
      <c r="L118" s="43">
        <f>IF(ISERROR(VLOOKUP(A118,'Workings Prior Month'!A:N,10,FALSE))=TRUE,0,(VLOOKUP(A118,'Workings Prior Month'!A:N,10,FALSE)))</f>
        <v>0</v>
      </c>
      <c r="M118" s="43">
        <f>IF(ISERROR(VLOOKUP(A118,'Workings Prior Month'!A:N,11,FALSE))=TRUE,0,(VLOOKUP(A118,'Workings Prior Month'!A:N,11,FALSE)))</f>
        <v>0</v>
      </c>
      <c r="N118" s="49">
        <f t="shared" si="17"/>
        <v>0</v>
      </c>
      <c r="O118" s="137">
        <f>IF(ISERROR(VLOOKUP(A118,'Cross ref Tab'!A:C,3,FALSE)=TRUE),9500,VLOOKUP(A118,'Cross ref Tab'!A:C,3,FALSE))</f>
        <v>1810</v>
      </c>
      <c r="P118" s="137">
        <f>IF(A118="","",COUNTIF('Cross ref Tab'!$A$3:$A$311,A118))</f>
        <v>1</v>
      </c>
      <c r="Q118" s="182">
        <f t="shared" si="16"/>
      </c>
      <c r="R118" s="5">
        <f t="shared" si="18"/>
        <v>0</v>
      </c>
      <c r="S118" s="149">
        <f t="shared" si="19"/>
        <v>0</v>
      </c>
      <c r="T118" s="149">
        <f t="shared" si="20"/>
        <v>0</v>
      </c>
      <c r="U118" s="150">
        <f t="shared" si="21"/>
        <v>0</v>
      </c>
      <c r="V118" s="5" t="e">
        <f>VLOOKUP(A118,#REF!,7,FALSE)-C118</f>
        <v>#REF!</v>
      </c>
      <c r="W118" s="5" t="e">
        <f>SUMIF(#REF!,A118,#REF!)-C118</f>
        <v>#REF!</v>
      </c>
      <c r="X118" s="5"/>
      <c r="Y118" s="5"/>
      <c r="Z118" s="5"/>
      <c r="AA118" s="5"/>
      <c r="AB118" s="5"/>
      <c r="AC118" s="5"/>
      <c r="AD118" s="5"/>
      <c r="AE118" s="5"/>
      <c r="AF118" s="5"/>
      <c r="AG118" s="5"/>
      <c r="AH118" s="5"/>
      <c r="AI118" s="5"/>
      <c r="AJ118" s="5"/>
      <c r="AK118" s="5"/>
    </row>
    <row r="119" spans="1:37" ht="15" customHeight="1">
      <c r="A119" s="70">
        <f>IF(Download!B109="","",Download!B109)</f>
        <v>541</v>
      </c>
      <c r="B119" s="70" t="str">
        <f>IF(Download!C109="","",Download!C109)</f>
        <v>NEET Intervention Activities</v>
      </c>
      <c r="C119" s="45">
        <f>Download!D109</f>
        <v>0</v>
      </c>
      <c r="D119" s="42">
        <f>Download!H109</f>
        <v>0</v>
      </c>
      <c r="E119" s="252"/>
      <c r="F119" s="29" t="str">
        <f t="shared" si="15"/>
        <v>-</v>
      </c>
      <c r="G119" s="36"/>
      <c r="H119" s="36"/>
      <c r="I119" s="36"/>
      <c r="J119" s="47">
        <f t="shared" si="13"/>
        <v>0</v>
      </c>
      <c r="K119" s="37">
        <f t="shared" si="14"/>
        <v>0</v>
      </c>
      <c r="L119" s="43">
        <f>IF(ISERROR(VLOOKUP(A119,'Workings Prior Month'!A:N,10,FALSE))=TRUE,0,(VLOOKUP(A119,'Workings Prior Month'!A:N,10,FALSE)))</f>
        <v>0</v>
      </c>
      <c r="M119" s="43">
        <f>IF(ISERROR(VLOOKUP(A119,'Workings Prior Month'!A:N,11,FALSE))=TRUE,0,(VLOOKUP(A119,'Workings Prior Month'!A:N,11,FALSE)))</f>
        <v>0</v>
      </c>
      <c r="N119" s="49">
        <f t="shared" si="17"/>
        <v>0</v>
      </c>
      <c r="O119" s="137">
        <f>IF(ISERROR(VLOOKUP(A119,'Cross ref Tab'!A:C,3,FALSE)=TRUE),9500,VLOOKUP(A119,'Cross ref Tab'!A:C,3,FALSE))</f>
        <v>1640</v>
      </c>
      <c r="P119" s="137">
        <f>IF(A119="","",COUNTIF('Cross ref Tab'!$A$3:$A$311,A119))</f>
        <v>1</v>
      </c>
      <c r="Q119" s="182">
        <f t="shared" si="16"/>
      </c>
      <c r="R119" s="5">
        <f t="shared" si="18"/>
        <v>0</v>
      </c>
      <c r="S119" s="149">
        <f t="shared" si="19"/>
        <v>0</v>
      </c>
      <c r="T119" s="149">
        <f t="shared" si="20"/>
        <v>0</v>
      </c>
      <c r="U119" s="150">
        <f t="shared" si="21"/>
        <v>0</v>
      </c>
      <c r="V119" s="5" t="e">
        <f>VLOOKUP(A119,#REF!,7,FALSE)-C119</f>
        <v>#REF!</v>
      </c>
      <c r="W119" s="5" t="e">
        <f>SUMIF(#REF!,A119,#REF!)-C119</f>
        <v>#REF!</v>
      </c>
      <c r="X119" s="5"/>
      <c r="Y119" s="5"/>
      <c r="Z119" s="5"/>
      <c r="AA119" s="5"/>
      <c r="AB119" s="5"/>
      <c r="AC119" s="5"/>
      <c r="AD119" s="5"/>
      <c r="AE119" s="5"/>
      <c r="AF119" s="5"/>
      <c r="AG119" s="5"/>
      <c r="AH119" s="5"/>
      <c r="AI119" s="5"/>
      <c r="AJ119" s="5"/>
      <c r="AK119" s="5"/>
    </row>
    <row r="120" spans="1:37" ht="15" customHeight="1">
      <c r="A120" s="70">
        <f>IF(Download!B110="","",Download!B110)</f>
        <v>542</v>
      </c>
      <c r="B120" s="70" t="str">
        <f>IF(Download!C110="","",Download!C110)</f>
        <v>.Do not use</v>
      </c>
      <c r="C120" s="45">
        <f>Download!D110</f>
        <v>0</v>
      </c>
      <c r="D120" s="42">
        <f>Download!H110</f>
        <v>0</v>
      </c>
      <c r="E120" s="252"/>
      <c r="F120" s="29" t="str">
        <f t="shared" si="15"/>
        <v>-</v>
      </c>
      <c r="G120" s="36"/>
      <c r="H120" s="36"/>
      <c r="I120" s="36"/>
      <c r="J120" s="47">
        <f t="shared" si="13"/>
        <v>0</v>
      </c>
      <c r="K120" s="37">
        <f t="shared" si="14"/>
        <v>0</v>
      </c>
      <c r="L120" s="43">
        <f>IF(ISERROR(VLOOKUP(A120,'Workings Prior Month'!A:N,10,FALSE))=TRUE,0,(VLOOKUP(A120,'Workings Prior Month'!A:N,10,FALSE)))</f>
        <v>0</v>
      </c>
      <c r="M120" s="43">
        <f>IF(ISERROR(VLOOKUP(A120,'Workings Prior Month'!A:N,11,FALSE))=TRUE,0,(VLOOKUP(A120,'Workings Prior Month'!A:N,11,FALSE)))</f>
        <v>0</v>
      </c>
      <c r="N120" s="49">
        <f t="shared" si="17"/>
        <v>0</v>
      </c>
      <c r="O120" s="137">
        <f>IF(ISERROR(VLOOKUP(A120,'Cross ref Tab'!A:C,3,FALSE)=TRUE),9500,VLOOKUP(A120,'Cross ref Tab'!A:C,3,FALSE))</f>
        <v>9900</v>
      </c>
      <c r="P120" s="137">
        <f>IF(A120="","",COUNTIF('Cross ref Tab'!$A$3:$A$311,A120))</f>
        <v>1</v>
      </c>
      <c r="Q120" s="182">
        <f t="shared" si="16"/>
      </c>
      <c r="R120" s="5">
        <f t="shared" si="18"/>
        <v>0</v>
      </c>
      <c r="S120" s="149">
        <f t="shared" si="19"/>
        <v>0</v>
      </c>
      <c r="T120" s="149">
        <f t="shared" si="20"/>
        <v>0</v>
      </c>
      <c r="U120" s="150">
        <f t="shared" si="21"/>
        <v>0</v>
      </c>
      <c r="V120" s="5" t="e">
        <f>VLOOKUP(A120,#REF!,7,FALSE)-C120</f>
        <v>#REF!</v>
      </c>
      <c r="W120" s="5" t="e">
        <f>SUMIF(#REF!,A120,#REF!)-C120</f>
        <v>#REF!</v>
      </c>
      <c r="X120" s="5"/>
      <c r="Y120" s="5"/>
      <c r="Z120" s="5"/>
      <c r="AA120" s="5"/>
      <c r="AB120" s="5"/>
      <c r="AC120" s="5"/>
      <c r="AD120" s="5"/>
      <c r="AE120" s="5"/>
      <c r="AF120" s="5"/>
      <c r="AG120" s="5"/>
      <c r="AH120" s="5"/>
      <c r="AI120" s="5"/>
      <c r="AJ120" s="5"/>
      <c r="AK120" s="5"/>
    </row>
    <row r="121" spans="1:37" ht="15" customHeight="1">
      <c r="A121" s="70">
        <f>IF(Download!B111="","",Download!B111)</f>
        <v>544</v>
      </c>
      <c r="B121" s="70" t="str">
        <f>IF(Download!C111="","",Download!C111)</f>
        <v>Governors</v>
      </c>
      <c r="C121" s="45">
        <f>Download!D111</f>
        <v>1000</v>
      </c>
      <c r="D121" s="42">
        <f>Download!H111</f>
        <v>-468.5</v>
      </c>
      <c r="E121" s="252"/>
      <c r="F121" s="29">
        <f t="shared" si="15"/>
        <v>1.4685</v>
      </c>
      <c r="G121" s="36"/>
      <c r="H121" s="36"/>
      <c r="I121" s="253"/>
      <c r="J121" s="47">
        <f t="shared" si="13"/>
        <v>0</v>
      </c>
      <c r="K121" s="37">
        <f t="shared" si="14"/>
        <v>468.5</v>
      </c>
      <c r="L121" s="43">
        <f>IF(ISERROR(VLOOKUP(A121,'Workings Prior Month'!A:N,10,FALSE))=TRUE,0,(VLOOKUP(A121,'Workings Prior Month'!A:N,10,FALSE)))</f>
        <v>0</v>
      </c>
      <c r="M121" s="43">
        <f>IF(ISERROR(VLOOKUP(A121,'Workings Prior Month'!A:N,11,FALSE))=TRUE,0,(VLOOKUP(A121,'Workings Prior Month'!A:N,11,FALSE)))</f>
        <v>373.5</v>
      </c>
      <c r="N121" s="49">
        <f t="shared" si="17"/>
        <v>-95</v>
      </c>
      <c r="O121" s="137">
        <f>IF(ISERROR(VLOOKUP(A121,'Cross ref Tab'!A:C,3,FALSE)=TRUE),9500,VLOOKUP(A121,'Cross ref Tab'!A:C,3,FALSE))</f>
        <v>1820</v>
      </c>
      <c r="P121" s="137">
        <f>IF(A121="","",COUNTIF('Cross ref Tab'!$A$3:$A$311,A121))</f>
        <v>1</v>
      </c>
      <c r="Q121" s="182">
        <f t="shared" si="16"/>
      </c>
      <c r="R121" s="5">
        <f t="shared" si="18"/>
        <v>1000</v>
      </c>
      <c r="S121" s="149">
        <f t="shared" si="19"/>
        <v>1468.5</v>
      </c>
      <c r="T121" s="149">
        <f t="shared" si="20"/>
        <v>-468.5</v>
      </c>
      <c r="U121" s="150">
        <f t="shared" si="21"/>
        <v>-373.5</v>
      </c>
      <c r="V121" s="5" t="e">
        <f>VLOOKUP(A121,#REF!,7,FALSE)-C121</f>
        <v>#REF!</v>
      </c>
      <c r="W121" s="5" t="e">
        <f>SUMIF(#REF!,A121,#REF!)-C121</f>
        <v>#REF!</v>
      </c>
      <c r="X121" s="5"/>
      <c r="Y121" s="5"/>
      <c r="Z121" s="5"/>
      <c r="AA121" s="5"/>
      <c r="AB121" s="5"/>
      <c r="AC121" s="5"/>
      <c r="AD121" s="5"/>
      <c r="AE121" s="5"/>
      <c r="AF121" s="5"/>
      <c r="AG121" s="5"/>
      <c r="AH121" s="5"/>
      <c r="AI121" s="5"/>
      <c r="AJ121" s="5"/>
      <c r="AK121" s="5"/>
    </row>
    <row r="122" spans="1:37" ht="15" customHeight="1">
      <c r="A122" s="70">
        <f>IF(Download!B112="","",Download!B112)</f>
        <v>545</v>
      </c>
      <c r="B122" s="70" t="str">
        <f>IF(Download!C112="","",Download!C112)</f>
        <v>Charity Collections</v>
      </c>
      <c r="C122" s="45">
        <f>Download!D112</f>
        <v>0</v>
      </c>
      <c r="D122" s="42">
        <f>Download!H112</f>
        <v>38.13</v>
      </c>
      <c r="E122" s="252"/>
      <c r="F122" s="29" t="str">
        <f t="shared" si="15"/>
        <v>-</v>
      </c>
      <c r="G122" s="36"/>
      <c r="H122" s="36">
        <v>38.13</v>
      </c>
      <c r="I122" s="36"/>
      <c r="J122" s="47">
        <f t="shared" si="13"/>
        <v>0</v>
      </c>
      <c r="K122" s="37">
        <f t="shared" si="14"/>
        <v>0</v>
      </c>
      <c r="L122" s="43">
        <f>IF(ISERROR(VLOOKUP(A122,'Workings Prior Month'!A:N,10,FALSE))=TRUE,0,(VLOOKUP(A122,'Workings Prior Month'!A:N,10,FALSE)))</f>
        <v>0</v>
      </c>
      <c r="M122" s="43">
        <f>IF(ISERROR(VLOOKUP(A122,'Workings Prior Month'!A:N,11,FALSE))=TRUE,0,(VLOOKUP(A122,'Workings Prior Month'!A:N,11,FALSE)))</f>
        <v>0</v>
      </c>
      <c r="N122" s="49">
        <f t="shared" si="17"/>
        <v>0</v>
      </c>
      <c r="O122" s="137">
        <f>IF(ISERROR(VLOOKUP(A122,'Cross ref Tab'!A:C,3,FALSE)=TRUE),9500,VLOOKUP(A122,'Cross ref Tab'!A:C,3,FALSE))</f>
        <v>5300</v>
      </c>
      <c r="P122" s="137">
        <f>IF(A122="","",COUNTIF('Cross ref Tab'!$A$3:$A$311,A122))</f>
        <v>1</v>
      </c>
      <c r="Q122" s="182">
        <f t="shared" si="16"/>
      </c>
      <c r="R122" s="5">
        <f t="shared" si="18"/>
        <v>0</v>
      </c>
      <c r="S122" s="149">
        <f t="shared" si="19"/>
        <v>0</v>
      </c>
      <c r="T122" s="149">
        <f t="shared" si="20"/>
        <v>0</v>
      </c>
      <c r="U122" s="150">
        <f t="shared" si="21"/>
        <v>0</v>
      </c>
      <c r="V122" s="5" t="e">
        <f>VLOOKUP(A122,#REF!,7,FALSE)-C122</f>
        <v>#REF!</v>
      </c>
      <c r="W122" s="5" t="e">
        <f>SUMIF(#REF!,A122,#REF!)-C122</f>
        <v>#REF!</v>
      </c>
      <c r="X122" s="5"/>
      <c r="Y122" s="5"/>
      <c r="Z122" s="5"/>
      <c r="AA122" s="5"/>
      <c r="AB122" s="5"/>
      <c r="AC122" s="5"/>
      <c r="AD122" s="5"/>
      <c r="AE122" s="5"/>
      <c r="AF122" s="5"/>
      <c r="AG122" s="5"/>
      <c r="AH122" s="5"/>
      <c r="AI122" s="5"/>
      <c r="AJ122" s="5"/>
      <c r="AK122" s="5"/>
    </row>
    <row r="123" spans="1:37" ht="15" customHeight="1">
      <c r="A123" s="70">
        <f>IF(Download!B113="","",Download!B113)</f>
        <v>548</v>
      </c>
      <c r="B123" s="70" t="str">
        <f>IF(Download!C113="","",Download!C113)</f>
        <v>IT-Maintenance</v>
      </c>
      <c r="C123" s="45">
        <f>Download!D113</f>
        <v>90000</v>
      </c>
      <c r="D123" s="42">
        <f>Download!H113</f>
        <v>28785.15</v>
      </c>
      <c r="E123" s="252"/>
      <c r="F123" s="29">
        <f t="shared" si="15"/>
        <v>0.680165</v>
      </c>
      <c r="G123" s="36"/>
      <c r="H123" s="36">
        <v>28785.15</v>
      </c>
      <c r="I123" s="253"/>
      <c r="J123" s="47">
        <f t="shared" si="13"/>
        <v>0</v>
      </c>
      <c r="K123" s="37">
        <f t="shared" si="14"/>
        <v>0</v>
      </c>
      <c r="L123" s="43">
        <f>IF(ISERROR(VLOOKUP(A123,'Workings Prior Month'!A:N,10,FALSE))=TRUE,0,(VLOOKUP(A123,'Workings Prior Month'!A:N,10,FALSE)))</f>
        <v>0</v>
      </c>
      <c r="M123" s="43">
        <f>IF(ISERROR(VLOOKUP(A123,'Workings Prior Month'!A:N,11,FALSE))=TRUE,0,(VLOOKUP(A123,'Workings Prior Month'!A:N,11,FALSE)))</f>
        <v>0</v>
      </c>
      <c r="N123" s="49">
        <f t="shared" si="17"/>
        <v>0</v>
      </c>
      <c r="O123" s="137">
        <f>IF(ISERROR(VLOOKUP(A123,'Cross ref Tab'!A:C,3,FALSE)=TRUE),9500,VLOOKUP(A123,'Cross ref Tab'!A:C,3,FALSE))</f>
        <v>2000</v>
      </c>
      <c r="P123" s="137">
        <f>IF(A123="","",COUNTIF('Cross ref Tab'!$A$3:$A$311,A123))</f>
        <v>1</v>
      </c>
      <c r="Q123" s="182">
        <f t="shared" si="16"/>
      </c>
      <c r="R123" s="5">
        <f t="shared" si="18"/>
        <v>90000</v>
      </c>
      <c r="S123" s="149">
        <f t="shared" si="19"/>
        <v>90000</v>
      </c>
      <c r="T123" s="149">
        <f t="shared" si="20"/>
        <v>0</v>
      </c>
      <c r="U123" s="150">
        <f t="shared" si="21"/>
        <v>0</v>
      </c>
      <c r="V123" s="5" t="e">
        <f>VLOOKUP(A123,#REF!,7,FALSE)-C123</f>
        <v>#REF!</v>
      </c>
      <c r="W123" s="5" t="e">
        <f>SUMIF(#REF!,A123,#REF!)-C123</f>
        <v>#REF!</v>
      </c>
      <c r="X123" s="5"/>
      <c r="Y123" s="5"/>
      <c r="Z123" s="5"/>
      <c r="AA123" s="5"/>
      <c r="AB123" s="5"/>
      <c r="AC123" s="5"/>
      <c r="AD123" s="5"/>
      <c r="AE123" s="5"/>
      <c r="AF123" s="5"/>
      <c r="AG123" s="5"/>
      <c r="AH123" s="5"/>
      <c r="AI123" s="5"/>
      <c r="AJ123" s="5"/>
      <c r="AK123" s="5"/>
    </row>
    <row r="124" spans="1:37" ht="15" customHeight="1">
      <c r="A124" s="70">
        <f>IF(Download!B114="","",Download!B114)</f>
        <v>550</v>
      </c>
      <c r="B124" s="70" t="str">
        <f>IF(Download!C114="","",Download!C114)</f>
        <v>Parent Donations</v>
      </c>
      <c r="C124" s="45">
        <f>Download!D114</f>
        <v>-2000</v>
      </c>
      <c r="D124" s="42">
        <f>Download!H114</f>
        <v>-1577.03</v>
      </c>
      <c r="E124" s="252"/>
      <c r="F124" s="29">
        <f t="shared" si="15"/>
        <v>0.211485</v>
      </c>
      <c r="G124" s="36">
        <v>1577.03</v>
      </c>
      <c r="H124" s="36"/>
      <c r="I124" s="36"/>
      <c r="J124" s="47">
        <f t="shared" si="13"/>
        <v>0</v>
      </c>
      <c r="K124" s="37">
        <f t="shared" si="14"/>
        <v>0</v>
      </c>
      <c r="L124" s="43">
        <f>IF(ISERROR(VLOOKUP(A124,'Workings Prior Month'!A:N,10,FALSE))=TRUE,0,(VLOOKUP(A124,'Workings Prior Month'!A:N,10,FALSE)))</f>
        <v>0</v>
      </c>
      <c r="M124" s="43">
        <f>IF(ISERROR(VLOOKUP(A124,'Workings Prior Month'!A:N,11,FALSE))=TRUE,0,(VLOOKUP(A124,'Workings Prior Month'!A:N,11,FALSE)))</f>
        <v>0</v>
      </c>
      <c r="N124" s="49">
        <f t="shared" si="17"/>
        <v>0</v>
      </c>
      <c r="O124" s="137">
        <f>IF(ISERROR(VLOOKUP(A124,'Cross ref Tab'!A:C,3,FALSE)=TRUE),9500,VLOOKUP(A124,'Cross ref Tab'!A:C,3,FALSE))</f>
        <v>5300</v>
      </c>
      <c r="P124" s="137">
        <f>IF(A124="","",COUNTIF('Cross ref Tab'!$A$3:$A$311,A124))</f>
        <v>1</v>
      </c>
      <c r="Q124" s="182">
        <f t="shared" si="16"/>
      </c>
      <c r="R124" s="5">
        <f t="shared" si="18"/>
        <v>-2000</v>
      </c>
      <c r="S124" s="149">
        <f t="shared" si="19"/>
        <v>-2000</v>
      </c>
      <c r="T124" s="149">
        <f t="shared" si="20"/>
        <v>0</v>
      </c>
      <c r="U124" s="150">
        <f t="shared" si="21"/>
        <v>0</v>
      </c>
      <c r="V124" s="5" t="e">
        <f>VLOOKUP(A124,#REF!,7,FALSE)-C124</f>
        <v>#REF!</v>
      </c>
      <c r="W124" s="5" t="e">
        <f>SUMIF(#REF!,A124,#REF!)-C124</f>
        <v>#REF!</v>
      </c>
      <c r="X124" s="5"/>
      <c r="Y124" s="5"/>
      <c r="Z124" s="5"/>
      <c r="AA124" s="5"/>
      <c r="AB124" s="5"/>
      <c r="AC124" s="5"/>
      <c r="AD124" s="5"/>
      <c r="AE124" s="5"/>
      <c r="AF124" s="5"/>
      <c r="AG124" s="5"/>
      <c r="AH124" s="5"/>
      <c r="AI124" s="5"/>
      <c r="AJ124" s="5"/>
      <c r="AK124" s="5"/>
    </row>
    <row r="125" spans="1:37" ht="15" customHeight="1">
      <c r="A125" s="70">
        <f>IF(Download!B115="","",Download!B115)</f>
        <v>552</v>
      </c>
      <c r="B125" s="70" t="str">
        <f>IF(Download!C115="","",Download!C115)</f>
        <v>Staffroom Fund</v>
      </c>
      <c r="C125" s="45">
        <f>Download!D115</f>
        <v>857</v>
      </c>
      <c r="D125" s="42">
        <f>Download!H115</f>
        <v>834.12</v>
      </c>
      <c r="E125" s="252"/>
      <c r="F125" s="29">
        <f t="shared" si="15"/>
        <v>0.0266977829638273</v>
      </c>
      <c r="G125" s="36"/>
      <c r="H125" s="36">
        <v>834.12</v>
      </c>
      <c r="I125" s="253"/>
      <c r="J125" s="47">
        <f t="shared" si="13"/>
        <v>0</v>
      </c>
      <c r="K125" s="37">
        <f t="shared" si="14"/>
        <v>0</v>
      </c>
      <c r="L125" s="43">
        <f>IF(ISERROR(VLOOKUP(A125,'Workings Prior Month'!A:N,10,FALSE))=TRUE,0,(VLOOKUP(A125,'Workings Prior Month'!A:N,10,FALSE)))</f>
        <v>0</v>
      </c>
      <c r="M125" s="43">
        <f>IF(ISERROR(VLOOKUP(A125,'Workings Prior Month'!A:N,11,FALSE))=TRUE,0,(VLOOKUP(A125,'Workings Prior Month'!A:N,11,FALSE)))</f>
        <v>0</v>
      </c>
      <c r="N125" s="49">
        <f t="shared" si="17"/>
        <v>0</v>
      </c>
      <c r="O125" s="137">
        <f>IF(ISERROR(VLOOKUP(A125,'Cross ref Tab'!A:C,3,FALSE)=TRUE),9500,VLOOKUP(A125,'Cross ref Tab'!A:C,3,FALSE))</f>
        <v>5300</v>
      </c>
      <c r="P125" s="137">
        <f>IF(A125="","",COUNTIF('Cross ref Tab'!$A$3:$A$311,A125))</f>
        <v>1</v>
      </c>
      <c r="Q125" s="182">
        <f t="shared" si="16"/>
      </c>
      <c r="R125" s="5">
        <f t="shared" si="18"/>
        <v>857</v>
      </c>
      <c r="S125" s="149">
        <f t="shared" si="19"/>
        <v>857</v>
      </c>
      <c r="T125" s="149">
        <f t="shared" si="20"/>
        <v>0</v>
      </c>
      <c r="U125" s="150">
        <f t="shared" si="21"/>
        <v>0</v>
      </c>
      <c r="V125" s="5" t="e">
        <f>VLOOKUP(A125,#REF!,7,FALSE)-C125</f>
        <v>#REF!</v>
      </c>
      <c r="W125" s="5" t="e">
        <f>SUMIF(#REF!,A125,#REF!)-C125</f>
        <v>#REF!</v>
      </c>
      <c r="X125" s="5"/>
      <c r="Y125" s="5"/>
      <c r="Z125" s="5"/>
      <c r="AA125" s="5"/>
      <c r="AB125" s="5"/>
      <c r="AC125" s="5"/>
      <c r="AD125" s="5"/>
      <c r="AE125" s="5"/>
      <c r="AF125" s="5"/>
      <c r="AG125" s="5"/>
      <c r="AH125" s="5"/>
      <c r="AI125" s="5"/>
      <c r="AJ125" s="5"/>
      <c r="AK125" s="5"/>
    </row>
    <row r="126" spans="1:37" ht="15" customHeight="1">
      <c r="A126" s="70">
        <f>IF(Download!B116="","",Download!B116)</f>
        <v>557</v>
      </c>
      <c r="B126" s="70" t="str">
        <f>IF(Download!C116="","",Download!C116)</f>
        <v>SLT</v>
      </c>
      <c r="C126" s="45">
        <f>Download!D116</f>
        <v>0</v>
      </c>
      <c r="D126" s="42">
        <f>Download!H116</f>
        <v>-10.54</v>
      </c>
      <c r="E126" s="252"/>
      <c r="F126" s="29" t="str">
        <f t="shared" si="15"/>
        <v>-</v>
      </c>
      <c r="G126" s="36"/>
      <c r="H126" s="36"/>
      <c r="I126" s="36"/>
      <c r="J126" s="47">
        <f t="shared" si="13"/>
        <v>0</v>
      </c>
      <c r="K126" s="37">
        <f t="shared" si="14"/>
        <v>10.54</v>
      </c>
      <c r="L126" s="43">
        <f>IF(ISERROR(VLOOKUP(A126,'Workings Prior Month'!A:N,10,FALSE))=TRUE,0,(VLOOKUP(A126,'Workings Prior Month'!A:N,10,FALSE)))</f>
        <v>0</v>
      </c>
      <c r="M126" s="43">
        <f>IF(ISERROR(VLOOKUP(A126,'Workings Prior Month'!A:N,11,FALSE))=TRUE,0,(VLOOKUP(A126,'Workings Prior Month'!A:N,11,FALSE)))</f>
        <v>10.54</v>
      </c>
      <c r="N126" s="49">
        <f t="shared" si="17"/>
        <v>0</v>
      </c>
      <c r="O126" s="137">
        <f>IF(ISERROR(VLOOKUP(A126,'Cross ref Tab'!A:C,3,FALSE)=TRUE),9500,VLOOKUP(A126,'Cross ref Tab'!A:C,3,FALSE))</f>
        <v>1640</v>
      </c>
      <c r="P126" s="137">
        <f>IF(A126="","",COUNTIF('Cross ref Tab'!$A$3:$A$311,A126))</f>
        <v>1</v>
      </c>
      <c r="Q126" s="182">
        <f t="shared" si="16"/>
      </c>
      <c r="R126" s="5">
        <f t="shared" si="18"/>
        <v>0</v>
      </c>
      <c r="S126" s="149">
        <f t="shared" si="19"/>
        <v>10.54</v>
      </c>
      <c r="T126" s="149">
        <f t="shared" si="20"/>
        <v>-10.54</v>
      </c>
      <c r="U126" s="150">
        <f t="shared" si="21"/>
        <v>-10.54</v>
      </c>
      <c r="V126" s="5" t="e">
        <f>VLOOKUP(A126,#REF!,7,FALSE)-C126</f>
        <v>#REF!</v>
      </c>
      <c r="W126" s="5" t="e">
        <f>SUMIF(#REF!,A126,#REF!)-C126</f>
        <v>#REF!</v>
      </c>
      <c r="X126" s="5"/>
      <c r="Y126" s="5"/>
      <c r="Z126" s="5"/>
      <c r="AA126" s="5"/>
      <c r="AB126" s="5"/>
      <c r="AC126" s="5"/>
      <c r="AD126" s="5"/>
      <c r="AE126" s="5"/>
      <c r="AF126" s="5"/>
      <c r="AG126" s="5"/>
      <c r="AH126" s="5"/>
      <c r="AI126" s="5"/>
      <c r="AJ126" s="5"/>
      <c r="AK126" s="5"/>
    </row>
    <row r="127" spans="1:37" ht="15" customHeight="1">
      <c r="A127" s="70">
        <f>IF(Download!B117="","",Download!B117)</f>
        <v>560</v>
      </c>
      <c r="B127" s="70" t="str">
        <f>IF(Download!C117="","",Download!C117)</f>
        <v>Communications-Maintenance</v>
      </c>
      <c r="C127" s="45">
        <f>Download!D117</f>
        <v>2500</v>
      </c>
      <c r="D127" s="42">
        <f>Download!H117</f>
        <v>1106</v>
      </c>
      <c r="E127" s="252"/>
      <c r="F127" s="29">
        <f t="shared" si="15"/>
        <v>0.5576</v>
      </c>
      <c r="G127" s="36"/>
      <c r="H127" s="36">
        <v>1106</v>
      </c>
      <c r="I127" s="253"/>
      <c r="J127" s="47">
        <f t="shared" si="13"/>
        <v>0</v>
      </c>
      <c r="K127" s="37">
        <f t="shared" si="14"/>
        <v>0</v>
      </c>
      <c r="L127" s="43">
        <f>IF(ISERROR(VLOOKUP(A127,'Workings Prior Month'!A:N,10,FALSE))=TRUE,0,(VLOOKUP(A127,'Workings Prior Month'!A:N,10,FALSE)))</f>
        <v>0</v>
      </c>
      <c r="M127" s="43">
        <f>IF(ISERROR(VLOOKUP(A127,'Workings Prior Month'!A:N,11,FALSE))=TRUE,0,(VLOOKUP(A127,'Workings Prior Month'!A:N,11,FALSE)))</f>
        <v>0</v>
      </c>
      <c r="N127" s="49">
        <f t="shared" si="17"/>
        <v>0</v>
      </c>
      <c r="O127" s="137">
        <f>IF(ISERROR(VLOOKUP(A127,'Cross ref Tab'!A:C,3,FALSE)=TRUE),9500,VLOOKUP(A127,'Cross ref Tab'!A:C,3,FALSE))</f>
        <v>1800</v>
      </c>
      <c r="P127" s="137">
        <f>IF(A127="","",COUNTIF('Cross ref Tab'!$A$3:$A$311,A127))</f>
        <v>1</v>
      </c>
      <c r="Q127" s="182">
        <f t="shared" si="16"/>
      </c>
      <c r="R127" s="5">
        <f t="shared" si="18"/>
        <v>2500</v>
      </c>
      <c r="S127" s="149">
        <f t="shared" si="19"/>
        <v>2500</v>
      </c>
      <c r="T127" s="149">
        <f t="shared" si="20"/>
        <v>0</v>
      </c>
      <c r="U127" s="150">
        <f t="shared" si="21"/>
        <v>0</v>
      </c>
      <c r="V127" s="5" t="e">
        <f>VLOOKUP(A127,#REF!,7,FALSE)-C127</f>
        <v>#REF!</v>
      </c>
      <c r="W127" s="5" t="e">
        <f>SUMIF(#REF!,A127,#REF!)-C127</f>
        <v>#REF!</v>
      </c>
      <c r="X127" s="5"/>
      <c r="Y127" s="5"/>
      <c r="Z127" s="5"/>
      <c r="AA127" s="5"/>
      <c r="AB127" s="5"/>
      <c r="AC127" s="5"/>
      <c r="AD127" s="5"/>
      <c r="AE127" s="5"/>
      <c r="AF127" s="5"/>
      <c r="AG127" s="5"/>
      <c r="AH127" s="5"/>
      <c r="AI127" s="5"/>
      <c r="AJ127" s="5"/>
      <c r="AK127" s="5"/>
    </row>
    <row r="128" spans="1:37" ht="15" customHeight="1">
      <c r="A128" s="70">
        <f>IF(Download!B118="","",Download!B118)</f>
        <v>564</v>
      </c>
      <c r="B128" s="70" t="str">
        <f>IF(Download!C118="","",Download!C118)</f>
        <v>Free School Meals-Students</v>
      </c>
      <c r="C128" s="45">
        <f>Download!D118</f>
        <v>31500</v>
      </c>
      <c r="D128" s="42">
        <f>Download!H118</f>
        <v>20953.8</v>
      </c>
      <c r="E128" s="252"/>
      <c r="F128" s="29">
        <f t="shared" si="15"/>
        <v>0.33480000000000004</v>
      </c>
      <c r="G128" s="36"/>
      <c r="H128" s="36">
        <v>20953.8</v>
      </c>
      <c r="I128" s="253"/>
      <c r="J128" s="47">
        <f t="shared" si="13"/>
        <v>0</v>
      </c>
      <c r="K128" s="37">
        <f t="shared" si="14"/>
        <v>0</v>
      </c>
      <c r="L128" s="43">
        <f>IF(ISERROR(VLOOKUP(A128,'Workings Prior Month'!A:N,10,FALSE))=TRUE,0,(VLOOKUP(A128,'Workings Prior Month'!A:N,10,FALSE)))</f>
        <v>0</v>
      </c>
      <c r="M128" s="43">
        <f>IF(ISERROR(VLOOKUP(A128,'Workings Prior Month'!A:N,11,FALSE))=TRUE,0,(VLOOKUP(A128,'Workings Prior Month'!A:N,11,FALSE)))</f>
        <v>0</v>
      </c>
      <c r="N128" s="49">
        <f t="shared" si="17"/>
        <v>0</v>
      </c>
      <c r="O128" s="137">
        <f>IF(ISERROR(VLOOKUP(A128,'Cross ref Tab'!A:C,3,FALSE)=TRUE),9500,VLOOKUP(A128,'Cross ref Tab'!A:C,3,FALSE))</f>
        <v>1640</v>
      </c>
      <c r="P128" s="137">
        <f>IF(A128="","",COUNTIF('Cross ref Tab'!$A$3:$A$311,A128))</f>
        <v>1</v>
      </c>
      <c r="Q128" s="182">
        <f t="shared" si="16"/>
      </c>
      <c r="R128" s="5">
        <f t="shared" si="18"/>
        <v>31500</v>
      </c>
      <c r="S128" s="149">
        <f t="shared" si="19"/>
        <v>31500</v>
      </c>
      <c r="T128" s="149">
        <f t="shared" si="20"/>
        <v>0</v>
      </c>
      <c r="U128" s="150">
        <f t="shared" si="21"/>
        <v>0</v>
      </c>
      <c r="V128" s="5" t="e">
        <f>VLOOKUP(A128,#REF!,7,FALSE)-C128</f>
        <v>#REF!</v>
      </c>
      <c r="W128" s="5" t="e">
        <f>SUMIF(#REF!,A128,#REF!)-C128</f>
        <v>#REF!</v>
      </c>
      <c r="X128" s="5"/>
      <c r="Y128" s="5"/>
      <c r="Z128" s="5"/>
      <c r="AA128" s="5"/>
      <c r="AB128" s="5"/>
      <c r="AC128" s="5"/>
      <c r="AD128" s="5"/>
      <c r="AE128" s="5"/>
      <c r="AF128" s="5"/>
      <c r="AG128" s="5"/>
      <c r="AH128" s="5"/>
      <c r="AI128" s="5"/>
      <c r="AJ128" s="5"/>
      <c r="AK128" s="5"/>
    </row>
    <row r="129" spans="1:37" ht="15" customHeight="1">
      <c r="A129" s="70">
        <f>IF(Download!B119="","",Download!B119)</f>
        <v>565</v>
      </c>
      <c r="B129" s="70" t="str">
        <f>IF(Download!C119="","",Download!C119)</f>
        <v>Free School Meals-Staff</v>
      </c>
      <c r="C129" s="45">
        <f>Download!D119</f>
        <v>8500</v>
      </c>
      <c r="D129" s="42">
        <f>Download!H119</f>
        <v>4182.57</v>
      </c>
      <c r="E129" s="252"/>
      <c r="F129" s="29">
        <f t="shared" si="15"/>
        <v>0.5079329411764706</v>
      </c>
      <c r="G129" s="36"/>
      <c r="H129" s="36">
        <v>4182.57</v>
      </c>
      <c r="I129" s="253"/>
      <c r="J129" s="47">
        <f t="shared" si="13"/>
        <v>0</v>
      </c>
      <c r="K129" s="37">
        <f t="shared" si="14"/>
        <v>0</v>
      </c>
      <c r="L129" s="43">
        <f>IF(ISERROR(VLOOKUP(A129,'Workings Prior Month'!A:N,10,FALSE))=TRUE,0,(VLOOKUP(A129,'Workings Prior Month'!A:N,10,FALSE)))</f>
        <v>0</v>
      </c>
      <c r="M129" s="43">
        <f>IF(ISERROR(VLOOKUP(A129,'Workings Prior Month'!A:N,11,FALSE))=TRUE,0,(VLOOKUP(A129,'Workings Prior Month'!A:N,11,FALSE)))</f>
        <v>0</v>
      </c>
      <c r="N129" s="49">
        <f t="shared" si="17"/>
        <v>0</v>
      </c>
      <c r="O129" s="137">
        <f>IF(ISERROR(VLOOKUP(A129,'Cross ref Tab'!A:C,3,FALSE)=TRUE),9500,VLOOKUP(A129,'Cross ref Tab'!A:C,3,FALSE))</f>
        <v>2200</v>
      </c>
      <c r="P129" s="137">
        <f>IF(A129="","",COUNTIF('Cross ref Tab'!$A$3:$A$311,A129))</f>
        <v>1</v>
      </c>
      <c r="Q129" s="182">
        <f t="shared" si="16"/>
      </c>
      <c r="R129" s="5">
        <f t="shared" si="18"/>
        <v>8500</v>
      </c>
      <c r="S129" s="149">
        <f t="shared" si="19"/>
        <v>8500</v>
      </c>
      <c r="T129" s="149">
        <f t="shared" si="20"/>
        <v>0</v>
      </c>
      <c r="U129" s="150">
        <f t="shared" si="21"/>
        <v>0</v>
      </c>
      <c r="V129" s="5" t="e">
        <f>VLOOKUP(A129,#REF!,7,FALSE)-C129</f>
        <v>#REF!</v>
      </c>
      <c r="W129" s="5" t="e">
        <f>SUMIF(#REF!,A129,#REF!)-C129</f>
        <v>#REF!</v>
      </c>
      <c r="X129" s="5"/>
      <c r="Y129" s="5"/>
      <c r="Z129" s="5"/>
      <c r="AA129" s="5"/>
      <c r="AB129" s="5"/>
      <c r="AC129" s="5"/>
      <c r="AD129" s="5"/>
      <c r="AE129" s="5"/>
      <c r="AF129" s="5"/>
      <c r="AG129" s="5"/>
      <c r="AH129" s="5"/>
      <c r="AI129" s="5"/>
      <c r="AJ129" s="5"/>
      <c r="AK129" s="5"/>
    </row>
    <row r="130" spans="1:37" ht="15" customHeight="1">
      <c r="A130" s="70">
        <f>IF(Download!B120="","",Download!B120)</f>
        <v>576</v>
      </c>
      <c r="B130" s="70" t="str">
        <f>IF(Download!C120="","",Download!C120)</f>
        <v>Oasis Centre</v>
      </c>
      <c r="C130" s="45">
        <f>Download!D120</f>
        <v>200</v>
      </c>
      <c r="D130" s="42">
        <f>Download!H120</f>
        <v>165.71</v>
      </c>
      <c r="E130" s="252"/>
      <c r="F130" s="29">
        <f t="shared" si="15"/>
        <v>0.17144999999999996</v>
      </c>
      <c r="G130" s="36"/>
      <c r="H130" s="36">
        <v>165.71</v>
      </c>
      <c r="I130" s="36"/>
      <c r="J130" s="47">
        <f t="shared" si="13"/>
        <v>0</v>
      </c>
      <c r="K130" s="37">
        <f t="shared" si="14"/>
        <v>0</v>
      </c>
      <c r="L130" s="43">
        <f>IF(ISERROR(VLOOKUP(A130,'Workings Prior Month'!A:N,10,FALSE))=TRUE,0,(VLOOKUP(A130,'Workings Prior Month'!A:N,10,FALSE)))</f>
        <v>0</v>
      </c>
      <c r="M130" s="43">
        <f>IF(ISERROR(VLOOKUP(A130,'Workings Prior Month'!A:N,11,FALSE))=TRUE,0,(VLOOKUP(A130,'Workings Prior Month'!A:N,11,FALSE)))</f>
        <v>0</v>
      </c>
      <c r="N130" s="49">
        <f t="shared" si="17"/>
        <v>0</v>
      </c>
      <c r="O130" s="137">
        <f>IF(ISERROR(VLOOKUP(A130,'Cross ref Tab'!A:C,3,FALSE)=TRUE),9500,VLOOKUP(A130,'Cross ref Tab'!A:C,3,FALSE))</f>
        <v>1600</v>
      </c>
      <c r="P130" s="137">
        <f>IF(A130="","",COUNTIF('Cross ref Tab'!$A$3:$A$311,A130))</f>
        <v>1</v>
      </c>
      <c r="Q130" s="182">
        <f t="shared" si="16"/>
      </c>
      <c r="R130" s="5">
        <f t="shared" si="18"/>
        <v>200</v>
      </c>
      <c r="S130" s="149">
        <f t="shared" si="19"/>
        <v>200</v>
      </c>
      <c r="T130" s="149">
        <f t="shared" si="20"/>
        <v>0</v>
      </c>
      <c r="U130" s="150">
        <f t="shared" si="21"/>
        <v>0</v>
      </c>
      <c r="V130" s="5" t="e">
        <f>VLOOKUP(A130,#REF!,7,FALSE)-C130</f>
        <v>#REF!</v>
      </c>
      <c r="W130" s="5" t="e">
        <f>SUMIF(#REF!,A130,#REF!)-C130</f>
        <v>#REF!</v>
      </c>
      <c r="X130" s="5"/>
      <c r="Y130" s="5"/>
      <c r="Z130" s="5"/>
      <c r="AA130" s="5"/>
      <c r="AB130" s="5"/>
      <c r="AC130" s="5"/>
      <c r="AD130" s="5"/>
      <c r="AE130" s="5"/>
      <c r="AF130" s="5"/>
      <c r="AG130" s="5"/>
      <c r="AH130" s="5"/>
      <c r="AI130" s="5"/>
      <c r="AJ130" s="5"/>
      <c r="AK130" s="5"/>
    </row>
    <row r="131" spans="1:37" ht="15" customHeight="1">
      <c r="A131" s="70">
        <f>IF(Download!B121="","",Download!B121)</f>
        <v>601</v>
      </c>
      <c r="B131" s="70" t="str">
        <f>IF(Download!C121="","",Download!C121)</f>
        <v>Licences/Subscriptions/Fees</v>
      </c>
      <c r="C131" s="45">
        <f>Download!D121</f>
        <v>2500</v>
      </c>
      <c r="D131" s="42">
        <f>Download!H121</f>
        <v>2045.52</v>
      </c>
      <c r="E131" s="252"/>
      <c r="F131" s="29">
        <f t="shared" si="15"/>
        <v>0.181792</v>
      </c>
      <c r="G131" s="36"/>
      <c r="H131" s="36">
        <v>2045.52</v>
      </c>
      <c r="I131" s="253"/>
      <c r="J131" s="47">
        <f t="shared" si="13"/>
        <v>0</v>
      </c>
      <c r="K131" s="37">
        <f t="shared" si="14"/>
        <v>0</v>
      </c>
      <c r="L131" s="43">
        <f>IF(ISERROR(VLOOKUP(A131,'Workings Prior Month'!A:N,10,FALSE))=TRUE,0,(VLOOKUP(A131,'Workings Prior Month'!A:N,10,FALSE)))</f>
        <v>0</v>
      </c>
      <c r="M131" s="43">
        <f>IF(ISERROR(VLOOKUP(A131,'Workings Prior Month'!A:N,11,FALSE))=TRUE,0,(VLOOKUP(A131,'Workings Prior Month'!A:N,11,FALSE)))</f>
        <v>0</v>
      </c>
      <c r="N131" s="49">
        <f t="shared" si="17"/>
        <v>0</v>
      </c>
      <c r="O131" s="137">
        <f>IF(ISERROR(VLOOKUP(A131,'Cross ref Tab'!A:C,3,FALSE)=TRUE),9500,VLOOKUP(A131,'Cross ref Tab'!A:C,3,FALSE))</f>
        <v>1825</v>
      </c>
      <c r="P131" s="137">
        <f>IF(A131="","",COUNTIF('Cross ref Tab'!$A$3:$A$311,A131))</f>
        <v>1</v>
      </c>
      <c r="Q131" s="182">
        <f t="shared" si="16"/>
      </c>
      <c r="R131" s="5">
        <f t="shared" si="18"/>
        <v>2500</v>
      </c>
      <c r="S131" s="149">
        <f t="shared" si="19"/>
        <v>2500</v>
      </c>
      <c r="T131" s="149">
        <f t="shared" si="20"/>
        <v>0</v>
      </c>
      <c r="U131" s="150">
        <f t="shared" si="21"/>
        <v>0</v>
      </c>
      <c r="V131" s="5" t="e">
        <f>VLOOKUP(A131,#REF!,7,FALSE)-C131</f>
        <v>#REF!</v>
      </c>
      <c r="W131" s="5" t="e">
        <f>SUMIF(#REF!,A131,#REF!)-C131</f>
        <v>#REF!</v>
      </c>
      <c r="X131" s="5"/>
      <c r="Y131" s="5"/>
      <c r="Z131" s="5"/>
      <c r="AA131" s="5"/>
      <c r="AB131" s="5"/>
      <c r="AC131" s="5"/>
      <c r="AD131" s="5"/>
      <c r="AE131" s="5"/>
      <c r="AF131" s="5"/>
      <c r="AG131" s="5"/>
      <c r="AH131" s="5"/>
      <c r="AI131" s="5"/>
      <c r="AJ131" s="5"/>
      <c r="AK131" s="5"/>
    </row>
    <row r="132" spans="1:37" ht="15" customHeight="1">
      <c r="A132" s="70">
        <f>IF(Download!B122="","",Download!B122)</f>
        <v>602</v>
      </c>
      <c r="B132" s="70" t="str">
        <f>IF(Download!C122="","",Download!C122)</f>
        <v>Cleaning</v>
      </c>
      <c r="C132" s="45">
        <f>Download!D122</f>
        <v>125000</v>
      </c>
      <c r="D132" s="42">
        <f>Download!H122</f>
        <v>422.64</v>
      </c>
      <c r="E132" s="252"/>
      <c r="F132" s="29">
        <f t="shared" si="15"/>
        <v>0.99661888</v>
      </c>
      <c r="G132" s="36"/>
      <c r="H132" s="36">
        <v>422.64</v>
      </c>
      <c r="I132" s="253"/>
      <c r="J132" s="47">
        <f t="shared" si="13"/>
        <v>0</v>
      </c>
      <c r="K132" s="37">
        <f t="shared" si="14"/>
        <v>0</v>
      </c>
      <c r="L132" s="43">
        <f>IF(ISERROR(VLOOKUP(A132,'Workings Prior Month'!A:N,10,FALSE))=TRUE,0,(VLOOKUP(A132,'Workings Prior Month'!A:N,10,FALSE)))</f>
        <v>0</v>
      </c>
      <c r="M132" s="43">
        <f>IF(ISERROR(VLOOKUP(A132,'Workings Prior Month'!A:N,11,FALSE))=TRUE,0,(VLOOKUP(A132,'Workings Prior Month'!A:N,11,FALSE)))</f>
        <v>0</v>
      </c>
      <c r="N132" s="49">
        <f t="shared" si="17"/>
        <v>0</v>
      </c>
      <c r="O132" s="137">
        <f>IF(ISERROR(VLOOKUP(A132,'Cross ref Tab'!A:C,3,FALSE)=TRUE),9500,VLOOKUP(A132,'Cross ref Tab'!A:C,3,FALSE))</f>
        <v>1500</v>
      </c>
      <c r="P132" s="137">
        <f>IF(A132="","",COUNTIF('Cross ref Tab'!$A$3:$A$311,A132))</f>
        <v>1</v>
      </c>
      <c r="Q132" s="182">
        <f t="shared" si="16"/>
      </c>
      <c r="R132" s="5">
        <f t="shared" si="18"/>
        <v>125000</v>
      </c>
      <c r="S132" s="149">
        <f t="shared" si="19"/>
        <v>125000</v>
      </c>
      <c r="T132" s="149">
        <f t="shared" si="20"/>
        <v>0</v>
      </c>
      <c r="U132" s="150">
        <f t="shared" si="21"/>
        <v>0</v>
      </c>
      <c r="V132" s="5" t="e">
        <f>VLOOKUP(A132,#REF!,7,FALSE)-C132</f>
        <v>#REF!</v>
      </c>
      <c r="W132" s="5" t="e">
        <f>SUMIF(#REF!,A132,#REF!)-C132</f>
        <v>#REF!</v>
      </c>
      <c r="X132" s="5"/>
      <c r="Y132" s="5"/>
      <c r="Z132" s="5"/>
      <c r="AA132" s="5"/>
      <c r="AB132" s="5"/>
      <c r="AC132" s="5"/>
      <c r="AD132" s="5"/>
      <c r="AE132" s="5"/>
      <c r="AF132" s="5"/>
      <c r="AG132" s="5"/>
      <c r="AH132" s="5"/>
      <c r="AI132" s="5"/>
      <c r="AJ132" s="5"/>
      <c r="AK132" s="5"/>
    </row>
    <row r="133" spans="1:37" ht="15" customHeight="1">
      <c r="A133" s="70">
        <f>IF(Download!B123="","",Download!B123)</f>
        <v>603</v>
      </c>
      <c r="B133" s="70" t="str">
        <f>IF(Download!C123="","",Download!C123)</f>
        <v>Devolved Formula Capital</v>
      </c>
      <c r="C133" s="45">
        <f>Download!D123</f>
        <v>54530</v>
      </c>
      <c r="D133" s="42">
        <f>Download!H123</f>
        <v>13592</v>
      </c>
      <c r="E133" s="252"/>
      <c r="F133" s="29">
        <f t="shared" si="15"/>
        <v>0.7507427104346232</v>
      </c>
      <c r="G133" s="36"/>
      <c r="H133" s="36">
        <v>13592</v>
      </c>
      <c r="I133" s="253"/>
      <c r="J133" s="47">
        <f t="shared" si="13"/>
        <v>0</v>
      </c>
      <c r="K133" s="37">
        <f t="shared" si="14"/>
        <v>0</v>
      </c>
      <c r="L133" s="43">
        <f>IF(ISERROR(VLOOKUP(A133,'Workings Prior Month'!A:N,10,FALSE))=TRUE,0,(VLOOKUP(A133,'Workings Prior Month'!A:N,10,FALSE)))</f>
        <v>0</v>
      </c>
      <c r="M133" s="43">
        <f>IF(ISERROR(VLOOKUP(A133,'Workings Prior Month'!A:N,11,FALSE))=TRUE,0,(VLOOKUP(A133,'Workings Prior Month'!A:N,11,FALSE)))</f>
        <v>0</v>
      </c>
      <c r="N133" s="49">
        <f t="shared" si="17"/>
        <v>0</v>
      </c>
      <c r="O133" s="137">
        <f>IF(ISERROR(VLOOKUP(A133,'Cross ref Tab'!A:C,3,FALSE)=TRUE),9500,VLOOKUP(A133,'Cross ref Tab'!A:C,3,FALSE))</f>
        <v>9900</v>
      </c>
      <c r="P133" s="137">
        <f>IF(A133="","",COUNTIF('Cross ref Tab'!$A$3:$A$311,A133))</f>
        <v>1</v>
      </c>
      <c r="Q133" s="182">
        <f t="shared" si="16"/>
      </c>
      <c r="R133" s="5">
        <f t="shared" si="18"/>
        <v>54530</v>
      </c>
      <c r="S133" s="149">
        <f t="shared" si="19"/>
        <v>54530</v>
      </c>
      <c r="T133" s="149">
        <f t="shared" si="20"/>
        <v>0</v>
      </c>
      <c r="U133" s="150">
        <f t="shared" si="21"/>
        <v>0</v>
      </c>
      <c r="V133" s="5" t="e">
        <f>VLOOKUP(A133,#REF!,7,FALSE)-C133</f>
        <v>#REF!</v>
      </c>
      <c r="W133" s="5" t="e">
        <f>SUMIF(#REF!,A133,#REF!)-C133</f>
        <v>#REF!</v>
      </c>
      <c r="X133" s="5"/>
      <c r="Y133" s="5"/>
      <c r="Z133" s="5"/>
      <c r="AA133" s="5"/>
      <c r="AB133" s="5"/>
      <c r="AC133" s="5"/>
      <c r="AD133" s="5"/>
      <c r="AE133" s="5"/>
      <c r="AF133" s="5"/>
      <c r="AG133" s="5"/>
      <c r="AH133" s="5"/>
      <c r="AI133" s="5"/>
      <c r="AJ133" s="5"/>
      <c r="AK133" s="5"/>
    </row>
    <row r="134" spans="1:37" ht="15" customHeight="1">
      <c r="A134" s="70">
        <f>IF(Download!B124="","",Download!B124)</f>
        <v>604</v>
      </c>
      <c r="B134" s="70" t="str">
        <f>IF(Download!C124="","",Download!C124)</f>
        <v>Furniture&amp;Equipment</v>
      </c>
      <c r="C134" s="45">
        <f>Download!D124</f>
        <v>1000</v>
      </c>
      <c r="D134" s="42">
        <f>Download!H124</f>
        <v>600</v>
      </c>
      <c r="E134" s="252"/>
      <c r="F134" s="29">
        <f t="shared" si="15"/>
        <v>0.4</v>
      </c>
      <c r="G134" s="36"/>
      <c r="H134" s="36">
        <v>600</v>
      </c>
      <c r="I134" s="36"/>
      <c r="J134" s="47">
        <f t="shared" si="13"/>
        <v>0</v>
      </c>
      <c r="K134" s="37">
        <f t="shared" si="14"/>
        <v>0</v>
      </c>
      <c r="L134" s="43">
        <f>IF(ISERROR(VLOOKUP(A134,'Workings Prior Month'!A:N,10,FALSE))=TRUE,0,(VLOOKUP(A134,'Workings Prior Month'!A:N,10,FALSE)))</f>
        <v>0</v>
      </c>
      <c r="M134" s="43">
        <f>IF(ISERROR(VLOOKUP(A134,'Workings Prior Month'!A:N,11,FALSE))=TRUE,0,(VLOOKUP(A134,'Workings Prior Month'!A:N,11,FALSE)))</f>
        <v>0</v>
      </c>
      <c r="N134" s="49">
        <f t="shared" si="17"/>
        <v>0</v>
      </c>
      <c r="O134" s="137">
        <f>IF(ISERROR(VLOOKUP(A134,'Cross ref Tab'!A:C,3,FALSE)=TRUE),9500,VLOOKUP(A134,'Cross ref Tab'!A:C,3,FALSE))</f>
        <v>1900</v>
      </c>
      <c r="P134" s="137">
        <f>IF(A134="","",COUNTIF('Cross ref Tab'!$A$3:$A$311,A134))</f>
        <v>1</v>
      </c>
      <c r="Q134" s="182">
        <f t="shared" si="16"/>
      </c>
      <c r="R134" s="5">
        <f t="shared" si="18"/>
        <v>1000</v>
      </c>
      <c r="S134" s="149">
        <f t="shared" si="19"/>
        <v>1000</v>
      </c>
      <c r="T134" s="149">
        <f t="shared" si="20"/>
        <v>0</v>
      </c>
      <c r="U134" s="150">
        <f t="shared" si="21"/>
        <v>0</v>
      </c>
      <c r="V134" s="5" t="e">
        <f>VLOOKUP(A134,#REF!,7,FALSE)-C134</f>
        <v>#REF!</v>
      </c>
      <c r="W134" s="5" t="e">
        <f>SUMIF(#REF!,A134,#REF!)-C134</f>
        <v>#REF!</v>
      </c>
      <c r="X134" s="5"/>
      <c r="Y134" s="5"/>
      <c r="Z134" s="5"/>
      <c r="AA134" s="5"/>
      <c r="AB134" s="5"/>
      <c r="AC134" s="5"/>
      <c r="AD134" s="5"/>
      <c r="AE134" s="5"/>
      <c r="AF134" s="5"/>
      <c r="AG134" s="5"/>
      <c r="AH134" s="5"/>
      <c r="AI134" s="5"/>
      <c r="AJ134" s="5"/>
      <c r="AK134" s="5"/>
    </row>
    <row r="135" spans="1:37" ht="15" customHeight="1">
      <c r="A135" s="70">
        <f>IF(Download!B125="","",Download!B125)</f>
        <v>605</v>
      </c>
      <c r="B135" s="70" t="str">
        <f>IF(Download!C125="","",Download!C125)</f>
        <v>General Buildings&amp;Premises Maint</v>
      </c>
      <c r="C135" s="45">
        <f>Download!D125</f>
        <v>65000</v>
      </c>
      <c r="D135" s="42">
        <f>Download!H125</f>
        <v>37344.96</v>
      </c>
      <c r="E135" s="252"/>
      <c r="F135" s="29">
        <f t="shared" si="15"/>
        <v>0.4254621538461539</v>
      </c>
      <c r="G135" s="36"/>
      <c r="H135" s="36">
        <v>37344.96</v>
      </c>
      <c r="I135" s="253"/>
      <c r="J135" s="47">
        <f t="shared" si="13"/>
        <v>0</v>
      </c>
      <c r="K135" s="37">
        <f t="shared" si="14"/>
        <v>0</v>
      </c>
      <c r="L135" s="43">
        <f>IF(ISERROR(VLOOKUP(A135,'Workings Prior Month'!A:N,10,FALSE))=TRUE,0,(VLOOKUP(A135,'Workings Prior Month'!A:N,10,FALSE)))</f>
        <v>0</v>
      </c>
      <c r="M135" s="43">
        <f>IF(ISERROR(VLOOKUP(A135,'Workings Prior Month'!A:N,11,FALSE))=TRUE,0,(VLOOKUP(A135,'Workings Prior Month'!A:N,11,FALSE)))</f>
        <v>0</v>
      </c>
      <c r="N135" s="49">
        <f t="shared" si="17"/>
        <v>0</v>
      </c>
      <c r="O135" s="137">
        <f>IF(ISERROR(VLOOKUP(A135,'Cross ref Tab'!A:C,3,FALSE)=TRUE),9500,VLOOKUP(A135,'Cross ref Tab'!A:C,3,FALSE))</f>
        <v>1410</v>
      </c>
      <c r="P135" s="137">
        <f>IF(A135="","",COUNTIF('Cross ref Tab'!$A$3:$A$311,A135))</f>
        <v>1</v>
      </c>
      <c r="Q135" s="182">
        <f t="shared" si="16"/>
      </c>
      <c r="R135" s="5">
        <f t="shared" si="18"/>
        <v>65000</v>
      </c>
      <c r="S135" s="149">
        <f t="shared" si="19"/>
        <v>65000</v>
      </c>
      <c r="T135" s="149">
        <f t="shared" si="20"/>
        <v>0</v>
      </c>
      <c r="U135" s="150">
        <f t="shared" si="21"/>
        <v>0</v>
      </c>
      <c r="V135" s="5" t="e">
        <f>VLOOKUP(A135,#REF!,7,FALSE)-C135</f>
        <v>#REF!</v>
      </c>
      <c r="W135" s="5" t="e">
        <f>SUMIF(#REF!,A135,#REF!)-C135</f>
        <v>#REF!</v>
      </c>
      <c r="X135" s="5"/>
      <c r="Y135" s="5"/>
      <c r="Z135" s="5"/>
      <c r="AA135" s="5"/>
      <c r="AB135" s="5"/>
      <c r="AC135" s="5"/>
      <c r="AD135" s="5"/>
      <c r="AE135" s="5"/>
      <c r="AF135" s="5"/>
      <c r="AG135" s="5"/>
      <c r="AH135" s="5"/>
      <c r="AI135" s="5"/>
      <c r="AJ135" s="5"/>
      <c r="AK135" s="5"/>
    </row>
    <row r="136" spans="1:37" ht="15" customHeight="1">
      <c r="A136" s="70">
        <f>IF(Download!B126="","",Download!B126)</f>
        <v>606</v>
      </c>
      <c r="B136" s="70" t="str">
        <f>IF(Download!C126="","",Download!C126)</f>
        <v>Grounds Upkeep</v>
      </c>
      <c r="C136" s="45">
        <f>Download!D126</f>
        <v>16000</v>
      </c>
      <c r="D136" s="42">
        <f>Download!H126</f>
        <v>663.75</v>
      </c>
      <c r="E136" s="252"/>
      <c r="F136" s="29">
        <f t="shared" si="15"/>
        <v>0.958515625</v>
      </c>
      <c r="G136" s="36"/>
      <c r="H136" s="36">
        <v>663.75</v>
      </c>
      <c r="I136" s="253"/>
      <c r="J136" s="47">
        <f t="shared" si="13"/>
        <v>0</v>
      </c>
      <c r="K136" s="37">
        <f t="shared" si="14"/>
        <v>0</v>
      </c>
      <c r="L136" s="43">
        <f>IF(ISERROR(VLOOKUP(A136,'Workings Prior Month'!A:N,10,FALSE))=TRUE,0,(VLOOKUP(A136,'Workings Prior Month'!A:N,10,FALSE)))</f>
        <v>0</v>
      </c>
      <c r="M136" s="43">
        <f>IF(ISERROR(VLOOKUP(A136,'Workings Prior Month'!A:N,11,FALSE))=TRUE,0,(VLOOKUP(A136,'Workings Prior Month'!A:N,11,FALSE)))</f>
        <v>0</v>
      </c>
      <c r="N136" s="49">
        <f t="shared" si="17"/>
        <v>0</v>
      </c>
      <c r="O136" s="137">
        <f>IF(ISERROR(VLOOKUP(A136,'Cross ref Tab'!A:C,3,FALSE)=TRUE),9500,VLOOKUP(A136,'Cross ref Tab'!A:C,3,FALSE))</f>
        <v>1420</v>
      </c>
      <c r="P136" s="137">
        <f>IF(A136="","",COUNTIF('Cross ref Tab'!$A$3:$A$311,A136))</f>
        <v>1</v>
      </c>
      <c r="Q136" s="182">
        <f t="shared" si="16"/>
      </c>
      <c r="R136" s="5">
        <f t="shared" si="18"/>
        <v>16000</v>
      </c>
      <c r="S136" s="149">
        <f t="shared" si="19"/>
        <v>16000</v>
      </c>
      <c r="T136" s="149">
        <f t="shared" si="20"/>
        <v>0</v>
      </c>
      <c r="U136" s="150">
        <f t="shared" si="21"/>
        <v>0</v>
      </c>
      <c r="V136" s="5" t="e">
        <f>VLOOKUP(A136,#REF!,7,FALSE)-C136</f>
        <v>#REF!</v>
      </c>
      <c r="W136" s="5" t="e">
        <f>SUMIF(#REF!,A136,#REF!)-C136</f>
        <v>#REF!</v>
      </c>
      <c r="X136" s="5"/>
      <c r="Y136" s="5"/>
      <c r="Z136" s="5"/>
      <c r="AA136" s="5"/>
      <c r="AB136" s="5"/>
      <c r="AC136" s="5"/>
      <c r="AD136" s="5"/>
      <c r="AE136" s="5"/>
      <c r="AF136" s="5"/>
      <c r="AG136" s="5"/>
      <c r="AH136" s="5"/>
      <c r="AI136" s="5"/>
      <c r="AJ136" s="5"/>
      <c r="AK136" s="5"/>
    </row>
    <row r="137" spans="1:37" ht="15" customHeight="1">
      <c r="A137" s="70">
        <f>IF(Download!B127="","",Download!B127)</f>
        <v>607</v>
      </c>
      <c r="B137" s="70" t="str">
        <f>IF(Download!C127="","",Download!C127)</f>
        <v>Insurance-Buildings&amp;Contents</v>
      </c>
      <c r="C137" s="45">
        <f>Download!D127</f>
        <v>52000</v>
      </c>
      <c r="D137" s="42">
        <f>Download!H127</f>
        <v>27210.5</v>
      </c>
      <c r="E137" s="252"/>
      <c r="F137" s="29">
        <f t="shared" si="15"/>
        <v>0.4767211538461538</v>
      </c>
      <c r="G137" s="36"/>
      <c r="H137" s="36">
        <v>20000</v>
      </c>
      <c r="I137" s="253"/>
      <c r="J137" s="47">
        <f t="shared" si="13"/>
        <v>7210.5</v>
      </c>
      <c r="K137" s="37">
        <f t="shared" si="14"/>
        <v>0</v>
      </c>
      <c r="L137" s="43">
        <f>IF(ISERROR(VLOOKUP(A137,'Workings Prior Month'!A:N,10,FALSE))=TRUE,0,(VLOOKUP(A137,'Workings Prior Month'!A:N,10,FALSE)))</f>
        <v>0</v>
      </c>
      <c r="M137" s="43">
        <f>IF(ISERROR(VLOOKUP(A137,'Workings Prior Month'!A:N,11,FALSE))=TRUE,0,(VLOOKUP(A137,'Workings Prior Month'!A:N,11,FALSE)))</f>
        <v>0</v>
      </c>
      <c r="N137" s="49">
        <f t="shared" si="17"/>
        <v>7210.5</v>
      </c>
      <c r="O137" s="137">
        <f>IF(ISERROR(VLOOKUP(A137,'Cross ref Tab'!A:C,3,FALSE)=TRUE),9500,VLOOKUP(A137,'Cross ref Tab'!A:C,3,FALSE))</f>
        <v>1540</v>
      </c>
      <c r="P137" s="137">
        <f>IF(A137="","",COUNTIF('Cross ref Tab'!$A$3:$A$311,A137))</f>
        <v>1</v>
      </c>
      <c r="Q137" s="182">
        <f t="shared" si="16"/>
      </c>
      <c r="R137" s="5">
        <f t="shared" si="18"/>
        <v>52000</v>
      </c>
      <c r="S137" s="149">
        <f t="shared" si="19"/>
        <v>44789.5</v>
      </c>
      <c r="T137" s="149">
        <f t="shared" si="20"/>
        <v>7210.5</v>
      </c>
      <c r="U137" s="150">
        <f t="shared" si="21"/>
        <v>0</v>
      </c>
      <c r="V137" s="5" t="e">
        <f>VLOOKUP(A137,#REF!,7,FALSE)-C137</f>
        <v>#REF!</v>
      </c>
      <c r="W137" s="5" t="e">
        <f>SUMIF(#REF!,A137,#REF!)-C137</f>
        <v>#REF!</v>
      </c>
      <c r="X137" s="5"/>
      <c r="Y137" s="5"/>
      <c r="Z137" s="5"/>
      <c r="AA137" s="5"/>
      <c r="AB137" s="5"/>
      <c r="AC137" s="5"/>
      <c r="AD137" s="5"/>
      <c r="AE137" s="5"/>
      <c r="AF137" s="5"/>
      <c r="AG137" s="5"/>
      <c r="AH137" s="5"/>
      <c r="AI137" s="5"/>
      <c r="AJ137" s="5"/>
      <c r="AK137" s="5"/>
    </row>
    <row r="138" spans="1:37" ht="15" customHeight="1">
      <c r="A138" s="70">
        <f>IF(Download!B128="","",Download!B128)</f>
        <v>608</v>
      </c>
      <c r="B138" s="70" t="str">
        <f>IF(Download!C128="","",Download!C128)</f>
        <v>Rates</v>
      </c>
      <c r="C138" s="45">
        <f>Download!D128</f>
        <v>34500</v>
      </c>
      <c r="D138" s="42">
        <f>Download!H128</f>
        <v>13937.79</v>
      </c>
      <c r="E138" s="252"/>
      <c r="F138" s="29">
        <f t="shared" si="15"/>
        <v>0.5960060869565217</v>
      </c>
      <c r="G138" s="36"/>
      <c r="H138" s="36">
        <v>13937.79</v>
      </c>
      <c r="I138" s="36"/>
      <c r="J138" s="47">
        <f t="shared" si="13"/>
        <v>0</v>
      </c>
      <c r="K138" s="37">
        <f t="shared" si="14"/>
        <v>0</v>
      </c>
      <c r="L138" s="43">
        <f>IF(ISERROR(VLOOKUP(A138,'Workings Prior Month'!A:N,10,FALSE))=TRUE,0,(VLOOKUP(A138,'Workings Prior Month'!A:N,10,FALSE)))</f>
        <v>0</v>
      </c>
      <c r="M138" s="43">
        <f>IF(ISERROR(VLOOKUP(A138,'Workings Prior Month'!A:N,11,FALSE))=TRUE,0,(VLOOKUP(A138,'Workings Prior Month'!A:N,11,FALSE)))</f>
        <v>0</v>
      </c>
      <c r="N138" s="49">
        <f t="shared" si="17"/>
        <v>0</v>
      </c>
      <c r="O138" s="137">
        <f>IF(ISERROR(VLOOKUP(A138,'Cross ref Tab'!A:C,3,FALSE)=TRUE),9500,VLOOKUP(A138,'Cross ref Tab'!A:C,3,FALSE))</f>
        <v>1530</v>
      </c>
      <c r="P138" s="137">
        <f>IF(A138="","",COUNTIF('Cross ref Tab'!$A$3:$A$311,A138))</f>
        <v>1</v>
      </c>
      <c r="Q138" s="182">
        <f t="shared" si="16"/>
      </c>
      <c r="R138" s="5">
        <f t="shared" si="18"/>
        <v>34500</v>
      </c>
      <c r="S138" s="149">
        <f t="shared" si="19"/>
        <v>34500</v>
      </c>
      <c r="T138" s="149">
        <f t="shared" si="20"/>
        <v>0</v>
      </c>
      <c r="U138" s="150">
        <f t="shared" si="21"/>
        <v>0</v>
      </c>
      <c r="V138" s="5" t="e">
        <f>VLOOKUP(A138,#REF!,7,FALSE)-C138</f>
        <v>#REF!</v>
      </c>
      <c r="W138" s="5" t="e">
        <f>SUMIF(#REF!,A138,#REF!)-C138</f>
        <v>#REF!</v>
      </c>
      <c r="X138" s="5"/>
      <c r="Y138" s="5"/>
      <c r="Z138" s="5"/>
      <c r="AA138" s="5"/>
      <c r="AB138" s="5"/>
      <c r="AC138" s="5"/>
      <c r="AD138" s="5"/>
      <c r="AE138" s="5"/>
      <c r="AF138" s="5"/>
      <c r="AG138" s="5"/>
      <c r="AH138" s="5"/>
      <c r="AI138" s="5"/>
      <c r="AJ138" s="5"/>
      <c r="AK138" s="5"/>
    </row>
    <row r="139" spans="1:37" ht="15" customHeight="1">
      <c r="A139" s="70">
        <f>IF(Download!B129="","",Download!B129)</f>
        <v>609</v>
      </c>
      <c r="B139" s="70" t="str">
        <f>IF(Download!C129="","",Download!C129)</f>
        <v>Lettings&amp;Rents</v>
      </c>
      <c r="C139" s="45">
        <f>Download!D129</f>
        <v>-75000</v>
      </c>
      <c r="D139" s="42">
        <f>Download!H129</f>
        <v>-40298.43</v>
      </c>
      <c r="E139" s="252"/>
      <c r="F139" s="29">
        <f t="shared" si="15"/>
        <v>0.4626876</v>
      </c>
      <c r="G139" s="36">
        <v>40298.43</v>
      </c>
      <c r="H139" s="36"/>
      <c r="I139" s="36"/>
      <c r="J139" s="47">
        <f aca="true" t="shared" si="22" ref="J139:J202">IF(D139+G139-H139&gt;0,D139+G139-H139,0)</f>
        <v>0</v>
      </c>
      <c r="K139" s="37">
        <f aca="true" t="shared" si="23" ref="K139:K202">IF(D139+G139-H139&lt;=0,-D139-G139+H139,0)</f>
        <v>0</v>
      </c>
      <c r="L139" s="43">
        <f>IF(ISERROR(VLOOKUP(A139,'Workings Prior Month'!A:N,10,FALSE))=TRUE,0,(VLOOKUP(A139,'Workings Prior Month'!A:N,10,FALSE)))</f>
        <v>0</v>
      </c>
      <c r="M139" s="43">
        <f>IF(ISERROR(VLOOKUP(A139,'Workings Prior Month'!A:N,11,FALSE))=TRUE,0,(VLOOKUP(A139,'Workings Prior Month'!A:N,11,FALSE)))</f>
        <v>0</v>
      </c>
      <c r="N139" s="49">
        <f t="shared" si="17"/>
        <v>0</v>
      </c>
      <c r="O139" s="137">
        <f>IF(ISERROR(VLOOKUP(A139,'Cross ref Tab'!A:C,3,FALSE)=TRUE),9500,VLOOKUP(A139,'Cross ref Tab'!A:C,3,FALSE))</f>
        <v>5300</v>
      </c>
      <c r="P139" s="137">
        <f>IF(A139="","",COUNTIF('Cross ref Tab'!$A$3:$A$311,A139))</f>
        <v>1</v>
      </c>
      <c r="Q139" s="182">
        <f t="shared" si="16"/>
      </c>
      <c r="R139" s="5">
        <f t="shared" si="18"/>
        <v>-75000</v>
      </c>
      <c r="S139" s="149">
        <f t="shared" si="19"/>
        <v>-75000</v>
      </c>
      <c r="T139" s="149">
        <f t="shared" si="20"/>
        <v>0</v>
      </c>
      <c r="U139" s="150">
        <f t="shared" si="21"/>
        <v>0</v>
      </c>
      <c r="V139" s="5" t="e">
        <f>VLOOKUP(A139,#REF!,7,FALSE)-C139</f>
        <v>#REF!</v>
      </c>
      <c r="W139" s="5" t="e">
        <f>SUMIF(#REF!,A139,#REF!)-C139</f>
        <v>#REF!</v>
      </c>
      <c r="X139" s="5"/>
      <c r="Y139" s="5"/>
      <c r="Z139" s="5"/>
      <c r="AA139" s="5"/>
      <c r="AB139" s="5"/>
      <c r="AC139" s="5"/>
      <c r="AD139" s="5"/>
      <c r="AE139" s="5"/>
      <c r="AF139" s="5"/>
      <c r="AG139" s="5"/>
      <c r="AH139" s="5"/>
      <c r="AI139" s="5"/>
      <c r="AJ139" s="5"/>
      <c r="AK139" s="5"/>
    </row>
    <row r="140" spans="1:37" ht="15" customHeight="1">
      <c r="A140" s="70">
        <f>IF(Download!B130="","",Download!B130)</f>
        <v>611</v>
      </c>
      <c r="B140" s="70" t="str">
        <f>IF(Download!C130="","",Download!C130)</f>
        <v>Swimming Pool</v>
      </c>
      <c r="C140" s="45">
        <f>Download!D130</f>
        <v>8500</v>
      </c>
      <c r="D140" s="42">
        <f>Download!H130</f>
        <v>835.49</v>
      </c>
      <c r="E140" s="252"/>
      <c r="F140" s="29">
        <f aca="true" t="shared" si="24" ref="F140:F203">IF(C140=0,"-",(C140-D140)/C140)</f>
        <v>0.9017070588235294</v>
      </c>
      <c r="G140" s="36"/>
      <c r="H140" s="36">
        <v>835.49</v>
      </c>
      <c r="I140" s="36"/>
      <c r="J140" s="47">
        <f t="shared" si="22"/>
        <v>0</v>
      </c>
      <c r="K140" s="37">
        <f t="shared" si="23"/>
        <v>0</v>
      </c>
      <c r="L140" s="43">
        <f>IF(ISERROR(VLOOKUP(A140,'Workings Prior Month'!A:N,10,FALSE))=TRUE,0,(VLOOKUP(A140,'Workings Prior Month'!A:N,10,FALSE)))</f>
        <v>0</v>
      </c>
      <c r="M140" s="43">
        <f>IF(ISERROR(VLOOKUP(A140,'Workings Prior Month'!A:N,11,FALSE))=TRUE,0,(VLOOKUP(A140,'Workings Prior Month'!A:N,11,FALSE)))</f>
        <v>0</v>
      </c>
      <c r="N140" s="49">
        <f t="shared" si="17"/>
        <v>0</v>
      </c>
      <c r="O140" s="137">
        <f>IF(ISERROR(VLOOKUP(A140,'Cross ref Tab'!A:C,3,FALSE)=TRUE),9500,VLOOKUP(A140,'Cross ref Tab'!A:C,3,FALSE))</f>
        <v>1430</v>
      </c>
      <c r="P140" s="137">
        <f>IF(A140="","",COUNTIF('Cross ref Tab'!$A$3:$A$311,A140))</f>
        <v>1</v>
      </c>
      <c r="Q140" s="182">
        <f aca="true" t="shared" si="25" ref="Q140:Q203">IF(O140=9500,+" XREF Code Required","")</f>
      </c>
      <c r="R140" s="5">
        <f t="shared" si="18"/>
        <v>8500</v>
      </c>
      <c r="S140" s="149">
        <f t="shared" si="19"/>
        <v>8500</v>
      </c>
      <c r="T140" s="149">
        <f t="shared" si="20"/>
        <v>0</v>
      </c>
      <c r="U140" s="150">
        <f t="shared" si="21"/>
        <v>0</v>
      </c>
      <c r="V140" s="5" t="e">
        <f>VLOOKUP(A140,#REF!,7,FALSE)-C140</f>
        <v>#REF!</v>
      </c>
      <c r="W140" s="5" t="e">
        <f>SUMIF(#REF!,A140,#REF!)-C140</f>
        <v>#REF!</v>
      </c>
      <c r="X140" s="5"/>
      <c r="Y140" s="5"/>
      <c r="Z140" s="5"/>
      <c r="AA140" s="5"/>
      <c r="AB140" s="5"/>
      <c r="AC140" s="5"/>
      <c r="AD140" s="5"/>
      <c r="AE140" s="5"/>
      <c r="AF140" s="5"/>
      <c r="AG140" s="5"/>
      <c r="AH140" s="5"/>
      <c r="AI140" s="5"/>
      <c r="AJ140" s="5"/>
      <c r="AK140" s="5"/>
    </row>
    <row r="141" spans="1:37" ht="15" customHeight="1">
      <c r="A141" s="70">
        <f>IF(Download!B131="","",Download!B131)</f>
        <v>612</v>
      </c>
      <c r="B141" s="70" t="str">
        <f>IF(Download!C131="","",Download!C131)</f>
        <v>Water</v>
      </c>
      <c r="C141" s="45">
        <f>Download!D131</f>
        <v>24000</v>
      </c>
      <c r="D141" s="42">
        <f>Download!H131</f>
        <v>-92.33</v>
      </c>
      <c r="E141" s="252"/>
      <c r="F141" s="29">
        <f t="shared" si="24"/>
        <v>1.0038470833333335</v>
      </c>
      <c r="G141" s="36"/>
      <c r="H141" s="36"/>
      <c r="I141" s="36" t="s">
        <v>770</v>
      </c>
      <c r="J141" s="47">
        <f t="shared" si="22"/>
        <v>0</v>
      </c>
      <c r="K141" s="37">
        <f t="shared" si="23"/>
        <v>92.33</v>
      </c>
      <c r="L141" s="43">
        <f>IF(ISERROR(VLOOKUP(A141,'Workings Prior Month'!A:N,10,FALSE))=TRUE,0,(VLOOKUP(A141,'Workings Prior Month'!A:N,10,FALSE)))</f>
        <v>0</v>
      </c>
      <c r="M141" s="43">
        <f>IF(ISERROR(VLOOKUP(A141,'Workings Prior Month'!A:N,11,FALSE))=TRUE,0,(VLOOKUP(A141,'Workings Prior Month'!A:N,11,FALSE)))</f>
        <v>0</v>
      </c>
      <c r="N141" s="49">
        <f aca="true" t="shared" si="26" ref="N141:N204">M141-L141-K141+J141</f>
        <v>-92.33</v>
      </c>
      <c r="O141" s="137">
        <f>IF(ISERROR(VLOOKUP(A141,'Cross ref Tab'!A:C,3,FALSE)=TRUE),9500,VLOOKUP(A141,'Cross ref Tab'!A:C,3,FALSE))</f>
        <v>1520</v>
      </c>
      <c r="P141" s="137">
        <f>IF(A141="","",COUNTIF('Cross ref Tab'!$A$3:$A$311,A141))</f>
        <v>1</v>
      </c>
      <c r="Q141" s="182">
        <f t="shared" si="25"/>
      </c>
      <c r="R141" s="5">
        <f t="shared" si="18"/>
        <v>24000</v>
      </c>
      <c r="S141" s="149">
        <f t="shared" si="19"/>
        <v>24092.33</v>
      </c>
      <c r="T141" s="149">
        <f t="shared" si="20"/>
        <v>-92.33000000000175</v>
      </c>
      <c r="U141" s="150">
        <f t="shared" si="21"/>
        <v>-1.7479351299698465E-12</v>
      </c>
      <c r="V141" s="5" t="e">
        <f>VLOOKUP(A141,#REF!,7,FALSE)-C141</f>
        <v>#REF!</v>
      </c>
      <c r="W141" s="5" t="e">
        <f>SUMIF(#REF!,A141,#REF!)-C141</f>
        <v>#REF!</v>
      </c>
      <c r="X141" s="5"/>
      <c r="Y141" s="5"/>
      <c r="Z141" s="5"/>
      <c r="AA141" s="5"/>
      <c r="AB141" s="5"/>
      <c r="AC141" s="5"/>
      <c r="AD141" s="5"/>
      <c r="AE141" s="5"/>
      <c r="AF141" s="5"/>
      <c r="AG141" s="5"/>
      <c r="AH141" s="5"/>
      <c r="AI141" s="5"/>
      <c r="AJ141" s="5"/>
      <c r="AK141" s="5"/>
    </row>
    <row r="142" spans="1:37" ht="15" customHeight="1">
      <c r="A142" s="70">
        <f>IF(Download!B132="","",Download!B132)</f>
        <v>613</v>
      </c>
      <c r="B142" s="70" t="str">
        <f>IF(Download!C132="","",Download!C132)</f>
        <v>Energy</v>
      </c>
      <c r="C142" s="45">
        <f>Download!D132</f>
        <v>135000</v>
      </c>
      <c r="D142" s="42">
        <f>Download!H132</f>
        <v>-3647.55</v>
      </c>
      <c r="E142" s="252"/>
      <c r="F142" s="29">
        <f t="shared" si="24"/>
        <v>1.0270188888888887</v>
      </c>
      <c r="G142" s="36"/>
      <c r="H142" s="36"/>
      <c r="I142" s="253" t="s">
        <v>771</v>
      </c>
      <c r="J142" s="47">
        <f t="shared" si="22"/>
        <v>0</v>
      </c>
      <c r="K142" s="37">
        <f t="shared" si="23"/>
        <v>3647.55</v>
      </c>
      <c r="L142" s="43">
        <f>IF(ISERROR(VLOOKUP(A142,'Workings Prior Month'!A:N,10,FALSE))=TRUE,0,(VLOOKUP(A142,'Workings Prior Month'!A:N,10,FALSE)))</f>
        <v>0</v>
      </c>
      <c r="M142" s="43">
        <f>IF(ISERROR(VLOOKUP(A142,'Workings Prior Month'!A:N,11,FALSE))=TRUE,0,(VLOOKUP(A142,'Workings Prior Month'!A:N,11,FALSE)))</f>
        <v>1784.13</v>
      </c>
      <c r="N142" s="49">
        <f t="shared" si="26"/>
        <v>-1863.42</v>
      </c>
      <c r="O142" s="137">
        <f>IF(ISERROR(VLOOKUP(A142,'Cross ref Tab'!A:C,3,FALSE)=TRUE),9500,VLOOKUP(A142,'Cross ref Tab'!A:C,3,FALSE))</f>
        <v>1510</v>
      </c>
      <c r="P142" s="137">
        <f>IF(A142="","",COUNTIF('Cross ref Tab'!$A$3:$A$311,A142))</f>
        <v>1</v>
      </c>
      <c r="Q142" s="182">
        <f t="shared" si="25"/>
      </c>
      <c r="R142" s="5">
        <f t="shared" si="18"/>
        <v>135000</v>
      </c>
      <c r="S142" s="149">
        <f t="shared" si="19"/>
        <v>138647.55</v>
      </c>
      <c r="T142" s="149">
        <f t="shared" si="20"/>
        <v>-3647.5499999999884</v>
      </c>
      <c r="U142" s="150">
        <f t="shared" si="21"/>
        <v>-1784.1299999999883</v>
      </c>
      <c r="V142" s="5" t="e">
        <f>VLOOKUP(A142,#REF!,7,FALSE)-C142</f>
        <v>#REF!</v>
      </c>
      <c r="W142" s="5" t="e">
        <f>SUMIF(#REF!,A142,#REF!)-C142</f>
        <v>#REF!</v>
      </c>
      <c r="X142" s="5"/>
      <c r="Y142" s="5"/>
      <c r="Z142" s="5"/>
      <c r="AA142" s="5"/>
      <c r="AB142" s="5"/>
      <c r="AC142" s="5"/>
      <c r="AD142" s="5"/>
      <c r="AE142" s="5"/>
      <c r="AF142" s="5"/>
      <c r="AG142" s="5"/>
      <c r="AH142" s="5"/>
      <c r="AI142" s="5"/>
      <c r="AJ142" s="5"/>
      <c r="AK142" s="5"/>
    </row>
    <row r="143" spans="1:37" ht="15" customHeight="1">
      <c r="A143" s="70">
        <f>IF(Download!B133="","",Download!B133)</f>
        <v>615</v>
      </c>
      <c r="B143" s="70" t="str">
        <f>IF(Download!C133="","",Download!C133)</f>
        <v>Insurance Claims-Costs</v>
      </c>
      <c r="C143" s="45">
        <f>Download!D133</f>
        <v>0</v>
      </c>
      <c r="D143" s="42">
        <f>Download!H133</f>
        <v>0</v>
      </c>
      <c r="E143" s="252"/>
      <c r="F143" s="29" t="str">
        <f t="shared" si="24"/>
        <v>-</v>
      </c>
      <c r="G143" s="36"/>
      <c r="H143" s="36"/>
      <c r="I143" s="253"/>
      <c r="J143" s="47">
        <f t="shared" si="22"/>
        <v>0</v>
      </c>
      <c r="K143" s="37">
        <f t="shared" si="23"/>
        <v>0</v>
      </c>
      <c r="L143" s="43">
        <f>IF(ISERROR(VLOOKUP(A143,'Workings Prior Month'!A:N,10,FALSE))=TRUE,0,(VLOOKUP(A143,'Workings Prior Month'!A:N,10,FALSE)))</f>
        <v>0</v>
      </c>
      <c r="M143" s="43">
        <f>IF(ISERROR(VLOOKUP(A143,'Workings Prior Month'!A:N,11,FALSE))=TRUE,0,(VLOOKUP(A143,'Workings Prior Month'!A:N,11,FALSE)))</f>
        <v>0</v>
      </c>
      <c r="N143" s="49">
        <f t="shared" si="26"/>
        <v>0</v>
      </c>
      <c r="O143" s="137">
        <f>IF(ISERROR(VLOOKUP(A143,'Cross ref Tab'!A:C,3,FALSE)=TRUE),9500,VLOOKUP(A143,'Cross ref Tab'!A:C,3,FALSE))</f>
        <v>1540</v>
      </c>
      <c r="P143" s="137">
        <f>IF(A143="","",COUNTIF('Cross ref Tab'!$A$3:$A$311,A143))</f>
        <v>1</v>
      </c>
      <c r="Q143" s="182">
        <f t="shared" si="25"/>
      </c>
      <c r="R143" s="5">
        <f t="shared" si="18"/>
        <v>0</v>
      </c>
      <c r="S143" s="149">
        <f t="shared" si="19"/>
        <v>0</v>
      </c>
      <c r="T143" s="149">
        <f t="shared" si="20"/>
        <v>0</v>
      </c>
      <c r="U143" s="150">
        <f t="shared" si="21"/>
        <v>0</v>
      </c>
      <c r="V143" s="5" t="e">
        <f>VLOOKUP(A143,#REF!,7,FALSE)-C143</f>
        <v>#REF!</v>
      </c>
      <c r="W143" s="5" t="e">
        <f>SUMIF(#REF!,A143,#REF!)-C143</f>
        <v>#REF!</v>
      </c>
      <c r="X143" s="5"/>
      <c r="Y143" s="5"/>
      <c r="Z143" s="5"/>
      <c r="AA143" s="5"/>
      <c r="AB143" s="5"/>
      <c r="AC143" s="5"/>
      <c r="AD143" s="5"/>
      <c r="AE143" s="5"/>
      <c r="AF143" s="5"/>
      <c r="AG143" s="5"/>
      <c r="AH143" s="5"/>
      <c r="AI143" s="5"/>
      <c r="AJ143" s="5"/>
      <c r="AK143" s="5"/>
    </row>
    <row r="144" spans="1:37" ht="15" customHeight="1">
      <c r="A144" s="70" t="str">
        <f>IF(Download!B134="","",Download!B134)</f>
        <v>615A</v>
      </c>
      <c r="B144" s="70" t="str">
        <f>IF(Download!C134="","",Download!C134)</f>
        <v>Insurance Claims-Income</v>
      </c>
      <c r="C144" s="45">
        <f>Download!D134</f>
        <v>0</v>
      </c>
      <c r="D144" s="42">
        <f>Download!H134</f>
        <v>0</v>
      </c>
      <c r="E144" s="252"/>
      <c r="F144" s="29" t="str">
        <f t="shared" si="24"/>
        <v>-</v>
      </c>
      <c r="G144" s="36"/>
      <c r="H144" s="36"/>
      <c r="I144" s="253"/>
      <c r="J144" s="47">
        <f t="shared" si="22"/>
        <v>0</v>
      </c>
      <c r="K144" s="37">
        <f t="shared" si="23"/>
        <v>0</v>
      </c>
      <c r="L144" s="43">
        <f>IF(ISERROR(VLOOKUP(A144,'Workings Prior Month'!A:N,10,FALSE))=TRUE,0,(VLOOKUP(A144,'Workings Prior Month'!A:N,10,FALSE)))</f>
        <v>0</v>
      </c>
      <c r="M144" s="43">
        <f>IF(ISERROR(VLOOKUP(A144,'Workings Prior Month'!A:N,11,FALSE))=TRUE,0,(VLOOKUP(A144,'Workings Prior Month'!A:N,11,FALSE)))</f>
        <v>0</v>
      </c>
      <c r="N144" s="49">
        <f t="shared" si="26"/>
        <v>0</v>
      </c>
      <c r="O144" s="137">
        <f>IF(ISERROR(VLOOKUP(A144,'Cross ref Tab'!A:C,3,FALSE)=TRUE),9500,VLOOKUP(A144,'Cross ref Tab'!A:C,3,FALSE))</f>
        <v>1540</v>
      </c>
      <c r="P144" s="137">
        <f>IF(A144="","",COUNTIF('Cross ref Tab'!$A$3:$A$311,A144))</f>
        <v>1</v>
      </c>
      <c r="Q144" s="182">
        <f t="shared" si="25"/>
      </c>
      <c r="R144" s="5">
        <f t="shared" si="18"/>
        <v>0</v>
      </c>
      <c r="S144" s="149">
        <f t="shared" si="19"/>
        <v>0</v>
      </c>
      <c r="T144" s="149">
        <f t="shared" si="20"/>
        <v>0</v>
      </c>
      <c r="U144" s="150">
        <f t="shared" si="21"/>
        <v>0</v>
      </c>
      <c r="V144" s="5" t="e">
        <f>VLOOKUP(A144,#REF!,7,FALSE)-C144</f>
        <v>#REF!</v>
      </c>
      <c r="W144" s="5" t="e">
        <f>SUMIF(#REF!,A144,#REF!)-C144</f>
        <v>#REF!</v>
      </c>
      <c r="X144" s="5"/>
      <c r="Y144" s="5"/>
      <c r="Z144" s="5"/>
      <c r="AA144" s="5"/>
      <c r="AB144" s="5"/>
      <c r="AC144" s="5"/>
      <c r="AD144" s="5"/>
      <c r="AE144" s="5"/>
      <c r="AF144" s="5"/>
      <c r="AG144" s="5"/>
      <c r="AH144" s="5"/>
      <c r="AI144" s="5"/>
      <c r="AJ144" s="5"/>
      <c r="AK144" s="5"/>
    </row>
    <row r="145" spans="1:37" ht="15" customHeight="1">
      <c r="A145" s="70">
        <f>IF(Download!B135="","",Download!B135)</f>
        <v>640</v>
      </c>
      <c r="B145" s="70" t="str">
        <f>IF(Download!C135="","",Download!C135)</f>
        <v>Sports Hall Income</v>
      </c>
      <c r="C145" s="45">
        <f>Download!D135</f>
        <v>-35000</v>
      </c>
      <c r="D145" s="42">
        <f>Download!H135</f>
        <v>-21107.5</v>
      </c>
      <c r="E145" s="252"/>
      <c r="F145" s="29">
        <f t="shared" si="24"/>
        <v>0.3969285714285714</v>
      </c>
      <c r="G145" s="36">
        <v>21107.5</v>
      </c>
      <c r="H145" s="36"/>
      <c r="I145" s="253"/>
      <c r="J145" s="47">
        <f t="shared" si="22"/>
        <v>0</v>
      </c>
      <c r="K145" s="37">
        <f t="shared" si="23"/>
        <v>0</v>
      </c>
      <c r="L145" s="43">
        <f>IF(ISERROR(VLOOKUP(A145,'Workings Prior Month'!A:N,10,FALSE))=TRUE,0,(VLOOKUP(A145,'Workings Prior Month'!A:N,10,FALSE)))</f>
        <v>0</v>
      </c>
      <c r="M145" s="43">
        <f>IF(ISERROR(VLOOKUP(A145,'Workings Prior Month'!A:N,11,FALSE))=TRUE,0,(VLOOKUP(A145,'Workings Prior Month'!A:N,11,FALSE)))</f>
        <v>0</v>
      </c>
      <c r="N145" s="49">
        <f t="shared" si="26"/>
        <v>0</v>
      </c>
      <c r="O145" s="137">
        <f>IF(ISERROR(VLOOKUP(A145,'Cross ref Tab'!A:C,3,FALSE)=TRUE),9500,VLOOKUP(A145,'Cross ref Tab'!A:C,3,FALSE))</f>
        <v>5300</v>
      </c>
      <c r="P145" s="137">
        <f>IF(A145="","",COUNTIF('Cross ref Tab'!$A$3:$A$311,A145))</f>
        <v>1</v>
      </c>
      <c r="Q145" s="182">
        <f t="shared" si="25"/>
      </c>
      <c r="R145" s="5">
        <f t="shared" si="18"/>
        <v>-35000</v>
      </c>
      <c r="S145" s="149">
        <f t="shared" si="19"/>
        <v>-35000</v>
      </c>
      <c r="T145" s="149">
        <f t="shared" si="20"/>
        <v>0</v>
      </c>
      <c r="U145" s="150">
        <f t="shared" si="21"/>
        <v>0</v>
      </c>
      <c r="V145" s="5" t="e">
        <f>VLOOKUP(A145,#REF!,7,FALSE)-C145</f>
        <v>#REF!</v>
      </c>
      <c r="W145" s="5" t="e">
        <f>SUMIF(#REF!,A145,#REF!)-C145</f>
        <v>#REF!</v>
      </c>
      <c r="X145" s="5"/>
      <c r="Y145" s="5"/>
      <c r="Z145" s="5"/>
      <c r="AA145" s="5"/>
      <c r="AB145" s="5"/>
      <c r="AC145" s="5"/>
      <c r="AD145" s="5"/>
      <c r="AE145" s="5"/>
      <c r="AF145" s="5"/>
      <c r="AG145" s="5"/>
      <c r="AH145" s="5"/>
      <c r="AI145" s="5"/>
      <c r="AJ145" s="5"/>
      <c r="AK145" s="5"/>
    </row>
    <row r="146" spans="1:37" ht="15" customHeight="1">
      <c r="A146" s="70" t="str">
        <f>IF(Download!B136="","",Download!B136)</f>
        <v>640A</v>
      </c>
      <c r="B146" s="70" t="str">
        <f>IF(Download!C136="","",Download!C136)</f>
        <v>Sports Hall Exp</v>
      </c>
      <c r="C146" s="45">
        <f>Download!D136</f>
        <v>13000</v>
      </c>
      <c r="D146" s="42">
        <f>Download!H136</f>
        <v>-837.95</v>
      </c>
      <c r="E146" s="252"/>
      <c r="F146" s="29">
        <f t="shared" si="24"/>
        <v>1.0644576923076923</v>
      </c>
      <c r="G146" s="36"/>
      <c r="H146" s="36"/>
      <c r="I146" s="36"/>
      <c r="J146" s="47">
        <f t="shared" si="22"/>
        <v>0</v>
      </c>
      <c r="K146" s="37">
        <f t="shared" si="23"/>
        <v>837.95</v>
      </c>
      <c r="L146" s="43">
        <f>IF(ISERROR(VLOOKUP(A146,'Workings Prior Month'!A:N,10,FALSE))=TRUE,0,(VLOOKUP(A146,'Workings Prior Month'!A:N,10,FALSE)))</f>
        <v>0</v>
      </c>
      <c r="M146" s="43">
        <f>IF(ISERROR(VLOOKUP(A146,'Workings Prior Month'!A:N,11,FALSE))=TRUE,0,(VLOOKUP(A146,'Workings Prior Month'!A:N,11,FALSE)))</f>
        <v>0</v>
      </c>
      <c r="N146" s="49">
        <f t="shared" si="26"/>
        <v>-837.95</v>
      </c>
      <c r="O146" s="137">
        <f>IF(ISERROR(VLOOKUP(A146,'Cross ref Tab'!A:C,3,FALSE)=TRUE),9500,VLOOKUP(A146,'Cross ref Tab'!A:C,3,FALSE))</f>
        <v>3100</v>
      </c>
      <c r="P146" s="137">
        <f>IF(A146="","",COUNTIF('Cross ref Tab'!$A$3:$A$311,A146))</f>
        <v>1</v>
      </c>
      <c r="Q146" s="182">
        <f t="shared" si="25"/>
      </c>
      <c r="R146" s="5">
        <f t="shared" si="18"/>
        <v>13000</v>
      </c>
      <c r="S146" s="149">
        <f t="shared" si="19"/>
        <v>13837.95</v>
      </c>
      <c r="T146" s="149">
        <f t="shared" si="20"/>
        <v>-837.9500000000007</v>
      </c>
      <c r="U146" s="150">
        <f t="shared" si="21"/>
        <v>0</v>
      </c>
      <c r="V146" s="5" t="e">
        <f>VLOOKUP(A146,#REF!,7,FALSE)-C146</f>
        <v>#REF!</v>
      </c>
      <c r="W146" s="5" t="e">
        <f>SUMIF(#REF!,A146,#REF!)-C146</f>
        <v>#REF!</v>
      </c>
      <c r="X146" s="5"/>
      <c r="Y146" s="5"/>
      <c r="Z146" s="5"/>
      <c r="AA146" s="5"/>
      <c r="AB146" s="5"/>
      <c r="AC146" s="5"/>
      <c r="AD146" s="5"/>
      <c r="AE146" s="5"/>
      <c r="AF146" s="5"/>
      <c r="AG146" s="5"/>
      <c r="AH146" s="5"/>
      <c r="AI146" s="5"/>
      <c r="AJ146" s="5"/>
      <c r="AK146" s="5"/>
    </row>
    <row r="147" spans="1:37" ht="15" customHeight="1">
      <c r="A147" s="70">
        <f>IF(Download!B137="","",Download!B137)</f>
        <v>649</v>
      </c>
      <c r="B147" s="70" t="str">
        <f>IF(Download!C137="","",Download!C137)</f>
        <v>Bwt Forward-Capital</v>
      </c>
      <c r="C147" s="45">
        <f>Download!D137</f>
        <v>0</v>
      </c>
      <c r="D147" s="42">
        <f>Download!H137</f>
        <v>0</v>
      </c>
      <c r="E147" s="252"/>
      <c r="F147" s="29" t="str">
        <f t="shared" si="24"/>
        <v>-</v>
      </c>
      <c r="G147" s="36"/>
      <c r="H147" s="36"/>
      <c r="I147" s="36"/>
      <c r="J147" s="47">
        <f t="shared" si="22"/>
        <v>0</v>
      </c>
      <c r="K147" s="37">
        <f t="shared" si="23"/>
        <v>0</v>
      </c>
      <c r="L147" s="43">
        <f>IF(ISERROR(VLOOKUP(A147,'Workings Prior Month'!A:N,10,FALSE))=TRUE,0,(VLOOKUP(A147,'Workings Prior Month'!A:N,10,FALSE)))</f>
        <v>0</v>
      </c>
      <c r="M147" s="43">
        <f>IF(ISERROR(VLOOKUP(A147,'Workings Prior Month'!A:N,11,FALSE))=TRUE,0,(VLOOKUP(A147,'Workings Prior Month'!A:N,11,FALSE)))</f>
        <v>0</v>
      </c>
      <c r="N147" s="49">
        <f t="shared" si="26"/>
        <v>0</v>
      </c>
      <c r="O147" s="137">
        <f>IF(ISERROR(VLOOKUP(A147,'Cross ref Tab'!A:C,3,FALSE)=TRUE),9500,VLOOKUP(A147,'Cross ref Tab'!A:C,3,FALSE))</f>
        <v>6200</v>
      </c>
      <c r="P147" s="137">
        <f>IF(A147="","",COUNTIF('Cross ref Tab'!$A$3:$A$311,A147))</f>
        <v>1</v>
      </c>
      <c r="Q147" s="182">
        <f t="shared" si="25"/>
      </c>
      <c r="R147" s="5">
        <f t="shared" si="18"/>
        <v>0</v>
      </c>
      <c r="S147" s="149">
        <f t="shared" si="19"/>
        <v>0</v>
      </c>
      <c r="T147" s="149">
        <f t="shared" si="20"/>
        <v>0</v>
      </c>
      <c r="U147" s="150">
        <f t="shared" si="21"/>
        <v>0</v>
      </c>
      <c r="V147" s="5" t="e">
        <f>VLOOKUP(A147,#REF!,7,FALSE)-C147</f>
        <v>#REF!</v>
      </c>
      <c r="W147" s="5" t="e">
        <f>SUMIF(#REF!,A147,#REF!)-C147</f>
        <v>#REF!</v>
      </c>
      <c r="X147" s="5"/>
      <c r="Y147" s="5"/>
      <c r="Z147" s="5"/>
      <c r="AA147" s="5"/>
      <c r="AB147" s="5"/>
      <c r="AC147" s="5"/>
      <c r="AD147" s="5"/>
      <c r="AE147" s="5"/>
      <c r="AF147" s="5"/>
      <c r="AG147" s="5"/>
      <c r="AH147" s="5"/>
      <c r="AI147" s="5"/>
      <c r="AJ147" s="5"/>
      <c r="AK147" s="5"/>
    </row>
    <row r="148" spans="1:37" ht="15" customHeight="1">
      <c r="A148" s="70">
        <f>IF(Download!B138="","",Download!B138)</f>
        <v>650</v>
      </c>
      <c r="B148" s="70" t="str">
        <f>IF(Download!C138="","",Download!C138)</f>
        <v>S106 Build Exp</v>
      </c>
      <c r="C148" s="45">
        <f>Download!D138</f>
        <v>0</v>
      </c>
      <c r="D148" s="42">
        <f>Download!H138</f>
        <v>0</v>
      </c>
      <c r="E148" s="252"/>
      <c r="F148" s="29" t="str">
        <f t="shared" si="24"/>
        <v>-</v>
      </c>
      <c r="G148" s="36"/>
      <c r="H148" s="36"/>
      <c r="I148" s="36"/>
      <c r="J148" s="47">
        <f t="shared" si="22"/>
        <v>0</v>
      </c>
      <c r="K148" s="37">
        <f t="shared" si="23"/>
        <v>0</v>
      </c>
      <c r="L148" s="43">
        <f>IF(ISERROR(VLOOKUP(A148,'Workings Prior Month'!A:N,10,FALSE))=TRUE,0,(VLOOKUP(A148,'Workings Prior Month'!A:N,10,FALSE)))</f>
        <v>0</v>
      </c>
      <c r="M148" s="43">
        <f>IF(ISERROR(VLOOKUP(A148,'Workings Prior Month'!A:N,11,FALSE))=TRUE,0,(VLOOKUP(A148,'Workings Prior Month'!A:N,11,FALSE)))</f>
        <v>0</v>
      </c>
      <c r="N148" s="49">
        <f t="shared" si="26"/>
        <v>0</v>
      </c>
      <c r="O148" s="137">
        <f>IF(ISERROR(VLOOKUP(A148,'Cross ref Tab'!A:C,3,FALSE)=TRUE),9500,VLOOKUP(A148,'Cross ref Tab'!A:C,3,FALSE))</f>
        <v>9100</v>
      </c>
      <c r="P148" s="137">
        <f>IF(A148="","",COUNTIF('Cross ref Tab'!$A$3:$A$311,A148))</f>
        <v>1</v>
      </c>
      <c r="Q148" s="182">
        <f t="shared" si="25"/>
      </c>
      <c r="R148" s="5">
        <f aca="true" t="shared" si="27" ref="R148:R211">+C148</f>
        <v>0</v>
      </c>
      <c r="S148" s="149">
        <f aca="true" t="shared" si="28" ref="S148:S211">+C148-J148+K148</f>
        <v>0</v>
      </c>
      <c r="T148" s="149">
        <f aca="true" t="shared" si="29" ref="T148:T211">+R148-S148</f>
        <v>0</v>
      </c>
      <c r="U148" s="150">
        <f aca="true" t="shared" si="30" ref="U148:U211">+T148-N148</f>
        <v>0</v>
      </c>
      <c r="V148" s="5" t="e">
        <f>VLOOKUP(A148,#REF!,7,FALSE)-C148</f>
        <v>#REF!</v>
      </c>
      <c r="W148" s="5" t="e">
        <f>SUMIF(#REF!,A148,#REF!)-C148</f>
        <v>#REF!</v>
      </c>
      <c r="X148" s="5"/>
      <c r="Y148" s="5"/>
      <c r="Z148" s="5"/>
      <c r="AA148" s="5"/>
      <c r="AB148" s="5"/>
      <c r="AC148" s="5"/>
      <c r="AD148" s="5"/>
      <c r="AE148" s="5"/>
      <c r="AF148" s="5"/>
      <c r="AG148" s="5"/>
      <c r="AH148" s="5"/>
      <c r="AI148" s="5"/>
      <c r="AJ148" s="5"/>
      <c r="AK148" s="5"/>
    </row>
    <row r="149" spans="1:37" ht="15" customHeight="1">
      <c r="A149" s="70">
        <f>IF(Download!B139="","",Download!B139)</f>
        <v>651</v>
      </c>
      <c r="B149" s="70" t="str">
        <f>IF(Download!C139="","",Download!C139)</f>
        <v>EFA Capital Maint-Roofing-Exp</v>
      </c>
      <c r="C149" s="45">
        <f>Download!D139</f>
        <v>0</v>
      </c>
      <c r="D149" s="42">
        <f>Download!H139</f>
        <v>0</v>
      </c>
      <c r="E149" s="252"/>
      <c r="F149" s="29" t="str">
        <f t="shared" si="24"/>
        <v>-</v>
      </c>
      <c r="G149" s="36"/>
      <c r="H149" s="36"/>
      <c r="I149" s="253"/>
      <c r="J149" s="47">
        <f t="shared" si="22"/>
        <v>0</v>
      </c>
      <c r="K149" s="37">
        <f t="shared" si="23"/>
        <v>0</v>
      </c>
      <c r="L149" s="43">
        <f>IF(ISERROR(VLOOKUP(A149,'Workings Prior Month'!A:N,10,FALSE))=TRUE,0,(VLOOKUP(A149,'Workings Prior Month'!A:N,10,FALSE)))</f>
        <v>0</v>
      </c>
      <c r="M149" s="43">
        <f>IF(ISERROR(VLOOKUP(A149,'Workings Prior Month'!A:N,11,FALSE))=TRUE,0,(VLOOKUP(A149,'Workings Prior Month'!A:N,11,FALSE)))</f>
        <v>0</v>
      </c>
      <c r="N149" s="49">
        <f t="shared" si="26"/>
        <v>0</v>
      </c>
      <c r="O149" s="137">
        <f>IF(ISERROR(VLOOKUP(A149,'Cross ref Tab'!A:C,3,FALSE)=TRUE),9500,VLOOKUP(A149,'Cross ref Tab'!A:C,3,FALSE))</f>
        <v>9100</v>
      </c>
      <c r="P149" s="137">
        <f>IF(A149="","",COUNTIF('Cross ref Tab'!$A$3:$A$311,A149))</f>
        <v>1</v>
      </c>
      <c r="Q149" s="182">
        <f t="shared" si="25"/>
      </c>
      <c r="R149" s="5">
        <f t="shared" si="27"/>
        <v>0</v>
      </c>
      <c r="S149" s="149">
        <f t="shared" si="28"/>
        <v>0</v>
      </c>
      <c r="T149" s="149">
        <f t="shared" si="29"/>
        <v>0</v>
      </c>
      <c r="U149" s="150">
        <f t="shared" si="30"/>
        <v>0</v>
      </c>
      <c r="V149" s="5" t="e">
        <f>VLOOKUP(A149,#REF!,7,FALSE)-C149</f>
        <v>#REF!</v>
      </c>
      <c r="W149" s="5" t="e">
        <f>SUMIF(#REF!,A149,#REF!)-C149</f>
        <v>#REF!</v>
      </c>
      <c r="X149" s="5"/>
      <c r="Y149" s="5"/>
      <c r="Z149" s="5"/>
      <c r="AA149" s="5"/>
      <c r="AB149" s="5"/>
      <c r="AC149" s="5"/>
      <c r="AD149" s="5"/>
      <c r="AE149" s="5"/>
      <c r="AF149" s="5"/>
      <c r="AG149" s="5"/>
      <c r="AH149" s="5"/>
      <c r="AI149" s="5"/>
      <c r="AJ149" s="5"/>
      <c r="AK149" s="5"/>
    </row>
    <row r="150" spans="1:37" ht="15" customHeight="1">
      <c r="A150" s="70">
        <f>IF(Download!B140="","",Download!B140)</f>
        <v>654</v>
      </c>
      <c r="B150" s="70" t="str">
        <f>IF(Download!C140="","",Download!C140)</f>
        <v>EFA Windows 2015 Exp</v>
      </c>
      <c r="C150" s="45">
        <f>Download!D140</f>
        <v>789570</v>
      </c>
      <c r="D150" s="42">
        <f>Download!H140</f>
        <v>457505.35</v>
      </c>
      <c r="E150" s="252"/>
      <c r="F150" s="29">
        <f t="shared" si="24"/>
        <v>0.42056391453576</v>
      </c>
      <c r="G150" s="36"/>
      <c r="H150" s="36">
        <v>457505.35</v>
      </c>
      <c r="I150" s="36"/>
      <c r="J150" s="47">
        <f t="shared" si="22"/>
        <v>0</v>
      </c>
      <c r="K150" s="37">
        <f t="shared" si="23"/>
        <v>0</v>
      </c>
      <c r="L150" s="43">
        <f>IF(ISERROR(VLOOKUP(A150,'Workings Prior Month'!A:N,10,FALSE))=TRUE,0,(VLOOKUP(A150,'Workings Prior Month'!A:N,10,FALSE)))</f>
        <v>0</v>
      </c>
      <c r="M150" s="43">
        <f>IF(ISERROR(VLOOKUP(A150,'Workings Prior Month'!A:N,11,FALSE))=TRUE,0,(VLOOKUP(A150,'Workings Prior Month'!A:N,11,FALSE)))</f>
        <v>0</v>
      </c>
      <c r="N150" s="49">
        <f t="shared" si="26"/>
        <v>0</v>
      </c>
      <c r="O150" s="137">
        <f>IF(ISERROR(VLOOKUP(A150,'Cross ref Tab'!A:C,3,FALSE)=TRUE),9500,VLOOKUP(A150,'Cross ref Tab'!A:C,3,FALSE))</f>
        <v>9100</v>
      </c>
      <c r="P150" s="137">
        <f>IF(A150="","",COUNTIF('Cross ref Tab'!$A$3:$A$311,A150))</f>
        <v>1</v>
      </c>
      <c r="Q150" s="182">
        <f t="shared" si="25"/>
      </c>
      <c r="R150" s="5">
        <f t="shared" si="27"/>
        <v>789570</v>
      </c>
      <c r="S150" s="149">
        <f t="shared" si="28"/>
        <v>789570</v>
      </c>
      <c r="T150" s="149">
        <f t="shared" si="29"/>
        <v>0</v>
      </c>
      <c r="U150" s="150">
        <f t="shared" si="30"/>
        <v>0</v>
      </c>
      <c r="V150" s="5" t="e">
        <f>VLOOKUP(A150,#REF!,7,FALSE)-C150</f>
        <v>#REF!</v>
      </c>
      <c r="W150" s="5" t="e">
        <f>SUMIF(#REF!,A150,#REF!)-C150</f>
        <v>#REF!</v>
      </c>
      <c r="X150" s="5"/>
      <c r="Y150" s="5"/>
      <c r="Z150" s="5"/>
      <c r="AA150" s="5"/>
      <c r="AB150" s="5"/>
      <c r="AC150" s="5"/>
      <c r="AD150" s="5"/>
      <c r="AE150" s="5"/>
      <c r="AF150" s="5"/>
      <c r="AG150" s="5"/>
      <c r="AH150" s="5"/>
      <c r="AI150" s="5"/>
      <c r="AJ150" s="5"/>
      <c r="AK150" s="5"/>
    </row>
    <row r="151" spans="1:37" ht="15" customHeight="1">
      <c r="A151" s="70">
        <f>IF(Download!B141="","",Download!B141)</f>
        <v>656</v>
      </c>
      <c r="B151" s="70" t="str">
        <f>IF(Download!C141="","",Download!C141)</f>
        <v>EFA-Capital Maint-Pipes 2014-Exp</v>
      </c>
      <c r="C151" s="45">
        <f>Download!D141</f>
        <v>0</v>
      </c>
      <c r="D151" s="42">
        <f>Download!H141</f>
        <v>0</v>
      </c>
      <c r="E151" s="252"/>
      <c r="F151" s="29" t="str">
        <f t="shared" si="24"/>
        <v>-</v>
      </c>
      <c r="G151" s="36"/>
      <c r="H151" s="36"/>
      <c r="I151" s="36"/>
      <c r="J151" s="47">
        <f t="shared" si="22"/>
        <v>0</v>
      </c>
      <c r="K151" s="37">
        <f t="shared" si="23"/>
        <v>0</v>
      </c>
      <c r="L151" s="43">
        <f>IF(ISERROR(VLOOKUP(A151,'Workings Prior Month'!A:N,10,FALSE))=TRUE,0,(VLOOKUP(A151,'Workings Prior Month'!A:N,10,FALSE)))</f>
        <v>0</v>
      </c>
      <c r="M151" s="43">
        <f>IF(ISERROR(VLOOKUP(A151,'Workings Prior Month'!A:N,11,FALSE))=TRUE,0,(VLOOKUP(A151,'Workings Prior Month'!A:N,11,FALSE)))</f>
        <v>0</v>
      </c>
      <c r="N151" s="49">
        <f t="shared" si="26"/>
        <v>0</v>
      </c>
      <c r="O151" s="137">
        <f>IF(ISERROR(VLOOKUP(A151,'Cross ref Tab'!A:C,3,FALSE)=TRUE),9500,VLOOKUP(A151,'Cross ref Tab'!A:C,3,FALSE))</f>
        <v>9100</v>
      </c>
      <c r="P151" s="137">
        <f>IF(A151="","",COUNTIF('Cross ref Tab'!$A$3:$A$311,A151))</f>
        <v>1</v>
      </c>
      <c r="Q151" s="182">
        <f t="shared" si="25"/>
      </c>
      <c r="R151" s="5">
        <f t="shared" si="27"/>
        <v>0</v>
      </c>
      <c r="S151" s="149">
        <f t="shared" si="28"/>
        <v>0</v>
      </c>
      <c r="T151" s="149">
        <f t="shared" si="29"/>
        <v>0</v>
      </c>
      <c r="U151" s="150">
        <f t="shared" si="30"/>
        <v>0</v>
      </c>
      <c r="V151" s="5" t="e">
        <f>VLOOKUP(A151,#REF!,7,FALSE)-C151</f>
        <v>#REF!</v>
      </c>
      <c r="W151" s="5" t="e">
        <f>SUMIF(#REF!,A151,#REF!)-C151</f>
        <v>#REF!</v>
      </c>
      <c r="X151" s="5"/>
      <c r="Y151" s="5"/>
      <c r="Z151" s="5"/>
      <c r="AA151" s="5"/>
      <c r="AB151" s="5"/>
      <c r="AC151" s="5"/>
      <c r="AD151" s="5"/>
      <c r="AE151" s="5"/>
      <c r="AF151" s="5"/>
      <c r="AG151" s="5"/>
      <c r="AH151" s="5"/>
      <c r="AI151" s="5"/>
      <c r="AJ151" s="5"/>
      <c r="AK151" s="5"/>
    </row>
    <row r="152" spans="1:37" ht="15" customHeight="1">
      <c r="A152" s="70">
        <f>IF(Download!B142="","",Download!B142)</f>
        <v>670</v>
      </c>
      <c r="B152" s="70" t="str">
        <f>IF(Download!C142="","",Download!C142)</f>
        <v>Summer Works 2013</v>
      </c>
      <c r="C152" s="45">
        <f>Download!D142</f>
        <v>0</v>
      </c>
      <c r="D152" s="42">
        <f>Download!H142</f>
        <v>0</v>
      </c>
      <c r="E152" s="252"/>
      <c r="F152" s="29" t="str">
        <f t="shared" si="24"/>
        <v>-</v>
      </c>
      <c r="G152" s="36"/>
      <c r="H152" s="36"/>
      <c r="I152" s="253"/>
      <c r="J152" s="47">
        <f t="shared" si="22"/>
        <v>0</v>
      </c>
      <c r="K152" s="37">
        <f t="shared" si="23"/>
        <v>0</v>
      </c>
      <c r="L152" s="43">
        <f>IF(ISERROR(VLOOKUP(A152,'Workings Prior Month'!A:N,10,FALSE))=TRUE,0,(VLOOKUP(A152,'Workings Prior Month'!A:N,10,FALSE)))</f>
        <v>0</v>
      </c>
      <c r="M152" s="43">
        <f>IF(ISERROR(VLOOKUP(A152,'Workings Prior Month'!A:N,11,FALSE))=TRUE,0,(VLOOKUP(A152,'Workings Prior Month'!A:N,11,FALSE)))</f>
        <v>0</v>
      </c>
      <c r="N152" s="49">
        <f t="shared" si="26"/>
        <v>0</v>
      </c>
      <c r="O152" s="137">
        <f>IF(ISERROR(VLOOKUP(A152,'Cross ref Tab'!A:C,3,FALSE)=TRUE),9500,VLOOKUP(A152,'Cross ref Tab'!A:C,3,FALSE))</f>
        <v>9900</v>
      </c>
      <c r="P152" s="137">
        <f>IF(A152="","",COUNTIF('Cross ref Tab'!$A$3:$A$311,A152))</f>
        <v>1</v>
      </c>
      <c r="Q152" s="182">
        <f t="shared" si="25"/>
      </c>
      <c r="R152" s="5">
        <f t="shared" si="27"/>
        <v>0</v>
      </c>
      <c r="S152" s="149">
        <f t="shared" si="28"/>
        <v>0</v>
      </c>
      <c r="T152" s="149">
        <f t="shared" si="29"/>
        <v>0</v>
      </c>
      <c r="U152" s="150">
        <f t="shared" si="30"/>
        <v>0</v>
      </c>
      <c r="V152" s="5" t="e">
        <f>VLOOKUP(A152,#REF!,7,FALSE)-C152</f>
        <v>#REF!</v>
      </c>
      <c r="W152" s="5" t="e">
        <f>SUMIF(#REF!,A152,#REF!)-C152</f>
        <v>#REF!</v>
      </c>
      <c r="X152" s="5"/>
      <c r="Y152" s="5"/>
      <c r="Z152" s="5"/>
      <c r="AA152" s="5"/>
      <c r="AB152" s="5"/>
      <c r="AC152" s="5"/>
      <c r="AD152" s="5"/>
      <c r="AE152" s="5"/>
      <c r="AF152" s="5"/>
      <c r="AG152" s="5"/>
      <c r="AH152" s="5"/>
      <c r="AI152" s="5"/>
      <c r="AJ152" s="5"/>
      <c r="AK152" s="5"/>
    </row>
    <row r="153" spans="1:37" ht="15" customHeight="1">
      <c r="A153" s="70">
        <f>IF(Download!B143="","",Download!B143)</f>
        <v>703</v>
      </c>
      <c r="B153" s="70" t="str">
        <f>IF(Download!C143="","",Download!C143)</f>
        <v>Year end journals</v>
      </c>
      <c r="C153" s="45">
        <f>Download!D143</f>
        <v>0</v>
      </c>
      <c r="D153" s="42">
        <f>Download!H143</f>
        <v>0</v>
      </c>
      <c r="E153" s="252"/>
      <c r="F153" s="29" t="str">
        <f t="shared" si="24"/>
        <v>-</v>
      </c>
      <c r="G153" s="36"/>
      <c r="H153" s="36"/>
      <c r="I153" s="36"/>
      <c r="J153" s="47">
        <f t="shared" si="22"/>
        <v>0</v>
      </c>
      <c r="K153" s="37">
        <f t="shared" si="23"/>
        <v>0</v>
      </c>
      <c r="L153" s="43">
        <f>IF(ISERROR(VLOOKUP(A153,'Workings Prior Month'!A:N,10,FALSE))=TRUE,0,(VLOOKUP(A153,'Workings Prior Month'!A:N,10,FALSE)))</f>
        <v>0</v>
      </c>
      <c r="M153" s="43">
        <f>IF(ISERROR(VLOOKUP(A153,'Workings Prior Month'!A:N,11,FALSE))=TRUE,0,(VLOOKUP(A153,'Workings Prior Month'!A:N,11,FALSE)))</f>
        <v>0</v>
      </c>
      <c r="N153" s="49">
        <f t="shared" si="26"/>
        <v>0</v>
      </c>
      <c r="O153" s="137">
        <f>IF(ISERROR(VLOOKUP(A153,'Cross ref Tab'!A:C,3,FALSE)=TRUE),9500,VLOOKUP(A153,'Cross ref Tab'!A:C,3,FALSE))</f>
        <v>4000</v>
      </c>
      <c r="P153" s="137">
        <f>IF(A153="","",COUNTIF('Cross ref Tab'!$A$3:$A$311,A153))</f>
        <v>1</v>
      </c>
      <c r="Q153" s="182">
        <f t="shared" si="25"/>
      </c>
      <c r="R153" s="5">
        <f t="shared" si="27"/>
        <v>0</v>
      </c>
      <c r="S153" s="149">
        <f t="shared" si="28"/>
        <v>0</v>
      </c>
      <c r="T153" s="149">
        <f t="shared" si="29"/>
        <v>0</v>
      </c>
      <c r="U153" s="150">
        <f t="shared" si="30"/>
        <v>0</v>
      </c>
      <c r="V153" s="5" t="e">
        <f>VLOOKUP(A153,#REF!,7,FALSE)-C153</f>
        <v>#REF!</v>
      </c>
      <c r="W153" s="5" t="e">
        <f>SUMIF(#REF!,A153,#REF!)-C153</f>
        <v>#REF!</v>
      </c>
      <c r="X153" s="5"/>
      <c r="Y153" s="5"/>
      <c r="Z153" s="5"/>
      <c r="AA153" s="5"/>
      <c r="AB153" s="5"/>
      <c r="AC153" s="5"/>
      <c r="AD153" s="5"/>
      <c r="AE153" s="5"/>
      <c r="AF153" s="5"/>
      <c r="AG153" s="5"/>
      <c r="AH153" s="5"/>
      <c r="AI153" s="5"/>
      <c r="AJ153" s="5"/>
      <c r="AK153" s="5"/>
    </row>
    <row r="154" spans="1:37" ht="15" customHeight="1">
      <c r="A154" s="70" t="str">
        <f>IF(Download!B144="","",Download!B144)</f>
        <v>AGP0101</v>
      </c>
      <c r="B154" s="70" t="str">
        <f>IF(Download!C144="","",Download!C144)</f>
        <v>Artificial Pitch Income</v>
      </c>
      <c r="C154" s="45">
        <f>Download!D144</f>
        <v>-60000</v>
      </c>
      <c r="D154" s="42">
        <f>Download!H144</f>
        <v>-30574.8</v>
      </c>
      <c r="E154" s="252"/>
      <c r="F154" s="29">
        <f t="shared" si="24"/>
        <v>0.49042</v>
      </c>
      <c r="G154" s="36">
        <v>30574.8</v>
      </c>
      <c r="H154" s="36"/>
      <c r="I154" s="36"/>
      <c r="J154" s="47">
        <f t="shared" si="22"/>
        <v>0</v>
      </c>
      <c r="K154" s="37">
        <f t="shared" si="23"/>
        <v>0</v>
      </c>
      <c r="L154" s="43">
        <f>IF(ISERROR(VLOOKUP(A154,'Workings Prior Month'!A:N,10,FALSE))=TRUE,0,(VLOOKUP(A154,'Workings Prior Month'!A:N,10,FALSE)))</f>
        <v>0</v>
      </c>
      <c r="M154" s="43">
        <f>IF(ISERROR(VLOOKUP(A154,'Workings Prior Month'!A:N,11,FALSE))=TRUE,0,(VLOOKUP(A154,'Workings Prior Month'!A:N,11,FALSE)))</f>
        <v>0</v>
      </c>
      <c r="N154" s="49">
        <f t="shared" si="26"/>
        <v>0</v>
      </c>
      <c r="O154" s="137">
        <f>IF(ISERROR(VLOOKUP(A154,'Cross ref Tab'!A:C,3,FALSE)=TRUE),9500,VLOOKUP(A154,'Cross ref Tab'!A:C,3,FALSE))</f>
        <v>5300</v>
      </c>
      <c r="P154" s="137">
        <f>IF(A154="","",COUNTIF('Cross ref Tab'!$A$3:$A$311,A154))</f>
        <v>1</v>
      </c>
      <c r="Q154" s="182">
        <f t="shared" si="25"/>
      </c>
      <c r="R154" s="5">
        <f t="shared" si="27"/>
        <v>-60000</v>
      </c>
      <c r="S154" s="149">
        <f t="shared" si="28"/>
        <v>-60000</v>
      </c>
      <c r="T154" s="149">
        <f t="shared" si="29"/>
        <v>0</v>
      </c>
      <c r="U154" s="150">
        <f t="shared" si="30"/>
        <v>0</v>
      </c>
      <c r="V154" s="5" t="e">
        <f>VLOOKUP(A154,#REF!,7,FALSE)-C154</f>
        <v>#REF!</v>
      </c>
      <c r="W154" s="5" t="e">
        <f>SUMIF(#REF!,A154,#REF!)-C154</f>
        <v>#REF!</v>
      </c>
      <c r="X154" s="5"/>
      <c r="Y154" s="5"/>
      <c r="Z154" s="5"/>
      <c r="AA154" s="5"/>
      <c r="AB154" s="5"/>
      <c r="AC154" s="5"/>
      <c r="AD154" s="5"/>
      <c r="AE154" s="5"/>
      <c r="AF154" s="5"/>
      <c r="AG154" s="5"/>
      <c r="AH154" s="5"/>
      <c r="AI154" s="5"/>
      <c r="AJ154" s="5"/>
      <c r="AK154" s="5"/>
    </row>
    <row r="155" spans="1:37" ht="15" customHeight="1">
      <c r="A155" s="70" t="str">
        <f>IF(Download!B145="","",Download!B145)</f>
        <v>AGP0201</v>
      </c>
      <c r="B155" s="70" t="str">
        <f>IF(Download!C145="","",Download!C145)</f>
        <v>Artificial Pitch Expenditure</v>
      </c>
      <c r="C155" s="45">
        <f>Download!D145</f>
        <v>35000</v>
      </c>
      <c r="D155" s="42">
        <f>Download!H145</f>
        <v>-295.11</v>
      </c>
      <c r="E155" s="252"/>
      <c r="F155" s="29">
        <f t="shared" si="24"/>
        <v>1.0084317142857142</v>
      </c>
      <c r="G155" s="36"/>
      <c r="H155" s="36"/>
      <c r="I155" s="36"/>
      <c r="J155" s="47">
        <f t="shared" si="22"/>
        <v>0</v>
      </c>
      <c r="K155" s="37">
        <f t="shared" si="23"/>
        <v>295.11</v>
      </c>
      <c r="L155" s="43">
        <f>IF(ISERROR(VLOOKUP(A155,'Workings Prior Month'!A:N,10,FALSE))=TRUE,0,(VLOOKUP(A155,'Workings Prior Month'!A:N,10,FALSE)))</f>
        <v>0</v>
      </c>
      <c r="M155" s="43">
        <f>IF(ISERROR(VLOOKUP(A155,'Workings Prior Month'!A:N,11,FALSE))=TRUE,0,(VLOOKUP(A155,'Workings Prior Month'!A:N,11,FALSE)))</f>
        <v>0</v>
      </c>
      <c r="N155" s="49">
        <f t="shared" si="26"/>
        <v>-295.11</v>
      </c>
      <c r="O155" s="137">
        <f>IF(ISERROR(VLOOKUP(A155,'Cross ref Tab'!A:C,3,FALSE)=TRUE),9500,VLOOKUP(A155,'Cross ref Tab'!A:C,3,FALSE))</f>
        <v>3000</v>
      </c>
      <c r="P155" s="137">
        <f>IF(A155="","",COUNTIF('Cross ref Tab'!$A$3:$A$311,A155))</f>
        <v>1</v>
      </c>
      <c r="Q155" s="182">
        <f t="shared" si="25"/>
      </c>
      <c r="R155" s="5">
        <f t="shared" si="27"/>
        <v>35000</v>
      </c>
      <c r="S155" s="149">
        <f t="shared" si="28"/>
        <v>35295.11</v>
      </c>
      <c r="T155" s="149">
        <f t="shared" si="29"/>
        <v>-295.1100000000006</v>
      </c>
      <c r="U155" s="150">
        <f t="shared" si="30"/>
        <v>-5.684341886080801E-13</v>
      </c>
      <c r="V155" s="5" t="e">
        <f>VLOOKUP(A155,#REF!,7,FALSE)-C155</f>
        <v>#REF!</v>
      </c>
      <c r="W155" s="5" t="e">
        <f>SUMIF(#REF!,A155,#REF!)-C155</f>
        <v>#REF!</v>
      </c>
      <c r="X155" s="5"/>
      <c r="Y155" s="5"/>
      <c r="Z155" s="5"/>
      <c r="AA155" s="5"/>
      <c r="AB155" s="5"/>
      <c r="AC155" s="5"/>
      <c r="AD155" s="5"/>
      <c r="AE155" s="5"/>
      <c r="AF155" s="5"/>
      <c r="AG155" s="5"/>
      <c r="AH155" s="5"/>
      <c r="AI155" s="5"/>
      <c r="AJ155" s="5"/>
      <c r="AK155" s="5"/>
    </row>
    <row r="156" spans="1:37" ht="15" customHeight="1">
      <c r="A156" s="70" t="str">
        <f>IF(Download!B146="","",Download!B146)</f>
        <v>AGP0202</v>
      </c>
      <c r="B156" s="70" t="str">
        <f>IF(Download!C146="","",Download!C146)</f>
        <v>Artifical Pitch Sinking Fund</v>
      </c>
      <c r="C156" s="45">
        <f>Download!D146</f>
        <v>90000</v>
      </c>
      <c r="D156" s="42">
        <f>Download!H146</f>
        <v>90000</v>
      </c>
      <c r="E156" s="252"/>
      <c r="F156" s="29">
        <f t="shared" si="24"/>
        <v>0</v>
      </c>
      <c r="G156" s="36"/>
      <c r="H156" s="36">
        <v>90000</v>
      </c>
      <c r="I156" s="253" t="s">
        <v>772</v>
      </c>
      <c r="J156" s="47">
        <f t="shared" si="22"/>
        <v>0</v>
      </c>
      <c r="K156" s="37">
        <f t="shared" si="23"/>
        <v>0</v>
      </c>
      <c r="L156" s="43">
        <f>IF(ISERROR(VLOOKUP(A156,'Workings Prior Month'!A:N,10,FALSE))=TRUE,0,(VLOOKUP(A156,'Workings Prior Month'!A:N,10,FALSE)))</f>
        <v>0</v>
      </c>
      <c r="M156" s="43">
        <f>IF(ISERROR(VLOOKUP(A156,'Workings Prior Month'!A:N,11,FALSE))=TRUE,0,(VLOOKUP(A156,'Workings Prior Month'!A:N,11,FALSE)))</f>
        <v>0</v>
      </c>
      <c r="N156" s="49">
        <f t="shared" si="26"/>
        <v>0</v>
      </c>
      <c r="O156" s="137">
        <f>IF(ISERROR(VLOOKUP(A156,'Cross ref Tab'!A:C,3,FALSE)=TRUE),9500,VLOOKUP(A156,'Cross ref Tab'!A:C,3,FALSE))</f>
        <v>3000</v>
      </c>
      <c r="P156" s="137">
        <f>IF(A156="","",COUNTIF('Cross ref Tab'!$A$3:$A$311,A156))</f>
        <v>1</v>
      </c>
      <c r="Q156" s="182">
        <f t="shared" si="25"/>
      </c>
      <c r="R156" s="5">
        <f t="shared" si="27"/>
        <v>90000</v>
      </c>
      <c r="S156" s="149">
        <f t="shared" si="28"/>
        <v>90000</v>
      </c>
      <c r="T156" s="149">
        <f t="shared" si="29"/>
        <v>0</v>
      </c>
      <c r="U156" s="150">
        <f t="shared" si="30"/>
        <v>0</v>
      </c>
      <c r="V156" s="5" t="e">
        <f>VLOOKUP(A156,#REF!,7,FALSE)-C156</f>
        <v>#REF!</v>
      </c>
      <c r="W156" s="5" t="e">
        <f>SUMIF(#REF!,A156,#REF!)-C156</f>
        <v>#REF!</v>
      </c>
      <c r="X156" s="5"/>
      <c r="Y156" s="5"/>
      <c r="Z156" s="5"/>
      <c r="AA156" s="5"/>
      <c r="AB156" s="5"/>
      <c r="AC156" s="5"/>
      <c r="AD156" s="5"/>
      <c r="AE156" s="5"/>
      <c r="AF156" s="5"/>
      <c r="AG156" s="5"/>
      <c r="AH156" s="5"/>
      <c r="AI156" s="5"/>
      <c r="AJ156" s="5"/>
      <c r="AK156" s="5"/>
    </row>
    <row r="157" spans="1:37" ht="15" customHeight="1">
      <c r="A157" s="70" t="str">
        <f>IF(Download!B147="","",Download!B147)</f>
        <v>BADDEBT</v>
      </c>
      <c r="B157" s="70" t="str">
        <f>IF(Download!C147="","",Download!C147)</f>
        <v>Bad Debt-A/C's Receivable</v>
      </c>
      <c r="C157" s="45">
        <f>Download!D147</f>
        <v>0</v>
      </c>
      <c r="D157" s="42">
        <f>Download!H147</f>
        <v>0</v>
      </c>
      <c r="E157" s="252"/>
      <c r="F157" s="29" t="str">
        <f t="shared" si="24"/>
        <v>-</v>
      </c>
      <c r="G157" s="36"/>
      <c r="H157" s="36"/>
      <c r="I157" s="36"/>
      <c r="J157" s="47">
        <f t="shared" si="22"/>
        <v>0</v>
      </c>
      <c r="K157" s="37">
        <f t="shared" si="23"/>
        <v>0</v>
      </c>
      <c r="L157" s="43">
        <f>IF(ISERROR(VLOOKUP(A157,'Workings Prior Month'!A:N,10,FALSE))=TRUE,0,(VLOOKUP(A157,'Workings Prior Month'!A:N,10,FALSE)))</f>
        <v>0</v>
      </c>
      <c r="M157" s="43">
        <f>IF(ISERROR(VLOOKUP(A157,'Workings Prior Month'!A:N,11,FALSE))=TRUE,0,(VLOOKUP(A157,'Workings Prior Month'!A:N,11,FALSE)))</f>
        <v>0</v>
      </c>
      <c r="N157" s="49">
        <f t="shared" si="26"/>
        <v>0</v>
      </c>
      <c r="O157" s="137">
        <f>IF(ISERROR(VLOOKUP(A157,'Cross ref Tab'!A:C,3,FALSE)=TRUE),9500,VLOOKUP(A157,'Cross ref Tab'!A:C,3,FALSE))</f>
        <v>9900</v>
      </c>
      <c r="P157" s="137">
        <f>IF(A157="","",COUNTIF('Cross ref Tab'!$A$3:$A$311,A157))</f>
        <v>1</v>
      </c>
      <c r="Q157" s="182">
        <f t="shared" si="25"/>
      </c>
      <c r="R157" s="5">
        <f t="shared" si="27"/>
        <v>0</v>
      </c>
      <c r="S157" s="149">
        <f t="shared" si="28"/>
        <v>0</v>
      </c>
      <c r="T157" s="149">
        <f t="shared" si="29"/>
        <v>0</v>
      </c>
      <c r="U157" s="150">
        <f t="shared" si="30"/>
        <v>0</v>
      </c>
      <c r="V157" s="5" t="e">
        <f>VLOOKUP(A157,#REF!,7,FALSE)-C157</f>
        <v>#REF!</v>
      </c>
      <c r="W157" s="5" t="e">
        <f>SUMIF(#REF!,A157,#REF!)-C157</f>
        <v>#REF!</v>
      </c>
      <c r="X157" s="5"/>
      <c r="Y157" s="5"/>
      <c r="Z157" s="5"/>
      <c r="AA157" s="5"/>
      <c r="AB157" s="5"/>
      <c r="AC157" s="5"/>
      <c r="AD157" s="5"/>
      <c r="AE157" s="5"/>
      <c r="AF157" s="5"/>
      <c r="AG157" s="5"/>
      <c r="AH157" s="5"/>
      <c r="AI157" s="5"/>
      <c r="AJ157" s="5"/>
      <c r="AK157" s="5"/>
    </row>
    <row r="158" spans="1:37" ht="15" customHeight="1">
      <c r="A158" s="70" t="str">
        <f>IF(Download!B148="","",Download!B148)</f>
        <v>BS410</v>
      </c>
      <c r="B158" s="70" t="str">
        <f>IF(Download!C148="","",Download!C148)</f>
        <v>BESS-Pilates Course</v>
      </c>
      <c r="C158" s="45">
        <f>Download!D148</f>
        <v>0</v>
      </c>
      <c r="D158" s="42">
        <f>Download!H148</f>
        <v>546.37</v>
      </c>
      <c r="E158" s="252"/>
      <c r="F158" s="29" t="str">
        <f t="shared" si="24"/>
        <v>-</v>
      </c>
      <c r="G158" s="36"/>
      <c r="H158" s="36">
        <v>546.37</v>
      </c>
      <c r="I158" s="36"/>
      <c r="J158" s="47">
        <f t="shared" si="22"/>
        <v>0</v>
      </c>
      <c r="K158" s="37">
        <f t="shared" si="23"/>
        <v>0</v>
      </c>
      <c r="L158" s="43">
        <f>IF(ISERROR(VLOOKUP(A158,'Workings Prior Month'!A:N,10,FALSE))=TRUE,0,(VLOOKUP(A158,'Workings Prior Month'!A:N,10,FALSE)))</f>
        <v>0</v>
      </c>
      <c r="M158" s="43">
        <f>IF(ISERROR(VLOOKUP(A158,'Workings Prior Month'!A:N,11,FALSE))=TRUE,0,(VLOOKUP(A158,'Workings Prior Month'!A:N,11,FALSE)))</f>
        <v>0</v>
      </c>
      <c r="N158" s="49">
        <f t="shared" si="26"/>
        <v>0</v>
      </c>
      <c r="O158" s="137">
        <f>IF(ISERROR(VLOOKUP(A158,'Cross ref Tab'!A:C,3,FALSE)=TRUE),9500,VLOOKUP(A158,'Cross ref Tab'!A:C,3,FALSE))</f>
        <v>2200</v>
      </c>
      <c r="P158" s="137">
        <f>IF(A158="","",COUNTIF('Cross ref Tab'!$A$3:$A$311,A158))</f>
        <v>1</v>
      </c>
      <c r="Q158" s="182">
        <f t="shared" si="25"/>
      </c>
      <c r="R158" s="5">
        <f t="shared" si="27"/>
        <v>0</v>
      </c>
      <c r="S158" s="149">
        <f t="shared" si="28"/>
        <v>0</v>
      </c>
      <c r="T158" s="149">
        <f t="shared" si="29"/>
        <v>0</v>
      </c>
      <c r="U158" s="150">
        <f t="shared" si="30"/>
        <v>0</v>
      </c>
      <c r="V158" s="5" t="e">
        <f>VLOOKUP(A158,#REF!,7,FALSE)-C158</f>
        <v>#REF!</v>
      </c>
      <c r="W158" s="5" t="e">
        <f>SUMIF(#REF!,A158,#REF!)-C158</f>
        <v>#REF!</v>
      </c>
      <c r="X158" s="5"/>
      <c r="Y158" s="5"/>
      <c r="Z158" s="5"/>
      <c r="AA158" s="5"/>
      <c r="AB158" s="5"/>
      <c r="AC158" s="5"/>
      <c r="AD158" s="5"/>
      <c r="AE158" s="5"/>
      <c r="AF158" s="5"/>
      <c r="AG158" s="5"/>
      <c r="AH158" s="5"/>
      <c r="AI158" s="5"/>
      <c r="AJ158" s="5"/>
      <c r="AK158" s="5"/>
    </row>
    <row r="159" spans="1:37" ht="15" customHeight="1">
      <c r="A159" s="70" t="str">
        <f>IF(Download!B149="","",Download!B149)</f>
        <v>BS414</v>
      </c>
      <c r="B159" s="70" t="str">
        <f>IF(Download!C149="","",Download!C149)</f>
        <v>BESS-Yoga Course</v>
      </c>
      <c r="C159" s="45">
        <f>Download!D149</f>
        <v>0</v>
      </c>
      <c r="D159" s="42">
        <f>Download!H149</f>
        <v>335.18</v>
      </c>
      <c r="E159" s="252"/>
      <c r="F159" s="29" t="str">
        <f t="shared" si="24"/>
        <v>-</v>
      </c>
      <c r="G159" s="36"/>
      <c r="H159" s="36">
        <v>335.18</v>
      </c>
      <c r="I159" s="253"/>
      <c r="J159" s="47">
        <f t="shared" si="22"/>
        <v>0</v>
      </c>
      <c r="K159" s="37">
        <f t="shared" si="23"/>
        <v>0</v>
      </c>
      <c r="L159" s="43">
        <f>IF(ISERROR(VLOOKUP(A159,'Workings Prior Month'!A:N,10,FALSE))=TRUE,0,(VLOOKUP(A159,'Workings Prior Month'!A:N,10,FALSE)))</f>
        <v>0</v>
      </c>
      <c r="M159" s="43">
        <f>IF(ISERROR(VLOOKUP(A159,'Workings Prior Month'!A:N,11,FALSE))=TRUE,0,(VLOOKUP(A159,'Workings Prior Month'!A:N,11,FALSE)))</f>
        <v>0</v>
      </c>
      <c r="N159" s="49">
        <f t="shared" si="26"/>
        <v>0</v>
      </c>
      <c r="O159" s="137">
        <f>IF(ISERROR(VLOOKUP(A159,'Cross ref Tab'!A:C,3,FALSE)=TRUE),9500,VLOOKUP(A159,'Cross ref Tab'!A:C,3,FALSE))</f>
        <v>2200</v>
      </c>
      <c r="P159" s="137">
        <f>IF(A159="","",COUNTIF('Cross ref Tab'!$A$3:$A$311,A159))</f>
        <v>1</v>
      </c>
      <c r="Q159" s="182">
        <f t="shared" si="25"/>
      </c>
      <c r="R159" s="5">
        <f t="shared" si="27"/>
        <v>0</v>
      </c>
      <c r="S159" s="149">
        <f t="shared" si="28"/>
        <v>0</v>
      </c>
      <c r="T159" s="149">
        <f t="shared" si="29"/>
        <v>0</v>
      </c>
      <c r="U159" s="150">
        <f t="shared" si="30"/>
        <v>0</v>
      </c>
      <c r="V159" s="5" t="e">
        <f>VLOOKUP(A159,#REF!,7,FALSE)-C159</f>
        <v>#REF!</v>
      </c>
      <c r="W159" s="5" t="e">
        <f>SUMIF(#REF!,A159,#REF!)-C159</f>
        <v>#REF!</v>
      </c>
      <c r="X159" s="5"/>
      <c r="Y159" s="5"/>
      <c r="Z159" s="5"/>
      <c r="AA159" s="5"/>
      <c r="AB159" s="5"/>
      <c r="AC159" s="5"/>
      <c r="AD159" s="5"/>
      <c r="AE159" s="5"/>
      <c r="AF159" s="5"/>
      <c r="AG159" s="5"/>
      <c r="AH159" s="5"/>
      <c r="AI159" s="5"/>
      <c r="AJ159" s="5"/>
      <c r="AK159" s="5"/>
    </row>
    <row r="160" spans="1:37" ht="15" customHeight="1">
      <c r="A160" s="70" t="str">
        <f>IF(Download!B150="","",Download!B150)</f>
        <v>GTP204</v>
      </c>
      <c r="B160" s="70" t="str">
        <f>IF(Download!C150="","",Download!C150)</f>
        <v>GTP Salaries-Exp</v>
      </c>
      <c r="C160" s="45">
        <f>Download!D150</f>
        <v>0</v>
      </c>
      <c r="D160" s="42">
        <f>Download!H150</f>
        <v>0</v>
      </c>
      <c r="E160" s="252"/>
      <c r="F160" s="29" t="str">
        <f t="shared" si="24"/>
        <v>-</v>
      </c>
      <c r="G160" s="36"/>
      <c r="H160" s="36"/>
      <c r="I160" s="36"/>
      <c r="J160" s="47">
        <f t="shared" si="22"/>
        <v>0</v>
      </c>
      <c r="K160" s="37">
        <f t="shared" si="23"/>
        <v>0</v>
      </c>
      <c r="L160" s="43">
        <f>IF(ISERROR(VLOOKUP(A160,'Workings Prior Month'!A:N,10,FALSE))=TRUE,0,(VLOOKUP(A160,'Workings Prior Month'!A:N,10,FALSE)))</f>
        <v>0</v>
      </c>
      <c r="M160" s="43">
        <f>IF(ISERROR(VLOOKUP(A160,'Workings Prior Month'!A:N,11,FALSE))=TRUE,0,(VLOOKUP(A160,'Workings Prior Month'!A:N,11,FALSE)))</f>
        <v>0</v>
      </c>
      <c r="N160" s="49">
        <f t="shared" si="26"/>
        <v>0</v>
      </c>
      <c r="O160" s="137">
        <f>IF(ISERROR(VLOOKUP(A160,'Cross ref Tab'!A:C,3,FALSE)=TRUE),9500,VLOOKUP(A160,'Cross ref Tab'!A:C,3,FALSE))</f>
        <v>1250</v>
      </c>
      <c r="P160" s="137">
        <f>IF(A160="","",COUNTIF('Cross ref Tab'!$A$3:$A$311,A160))</f>
        <v>1</v>
      </c>
      <c r="Q160" s="182">
        <f t="shared" si="25"/>
      </c>
      <c r="R160" s="5">
        <f t="shared" si="27"/>
        <v>0</v>
      </c>
      <c r="S160" s="149">
        <f t="shared" si="28"/>
        <v>0</v>
      </c>
      <c r="T160" s="149">
        <f t="shared" si="29"/>
        <v>0</v>
      </c>
      <c r="U160" s="150">
        <f t="shared" si="30"/>
        <v>0</v>
      </c>
      <c r="V160" s="5" t="e">
        <f>VLOOKUP(A160,#REF!,7,FALSE)-C160</f>
        <v>#REF!</v>
      </c>
      <c r="W160" s="5" t="e">
        <f>SUMIF(#REF!,A160,#REF!)-C160</f>
        <v>#REF!</v>
      </c>
      <c r="X160" s="5"/>
      <c r="Y160" s="5"/>
      <c r="Z160" s="5"/>
      <c r="AA160" s="5"/>
      <c r="AB160" s="5"/>
      <c r="AC160" s="5"/>
      <c r="AD160" s="5"/>
      <c r="AE160" s="5"/>
      <c r="AF160" s="5"/>
      <c r="AG160" s="5"/>
      <c r="AH160" s="5"/>
      <c r="AI160" s="5"/>
      <c r="AJ160" s="5"/>
      <c r="AK160" s="5"/>
    </row>
    <row r="161" spans="1:37" ht="15" customHeight="1">
      <c r="A161" s="70" t="str">
        <f>IF(Download!B151="","",Download!B151)</f>
        <v>GTP205</v>
      </c>
      <c r="B161" s="70" t="str">
        <f>IF(Download!C151="","",Download!C151)</f>
        <v>GTP-Income-Staff Salarie</v>
      </c>
      <c r="C161" s="45">
        <f>Download!D151</f>
        <v>0</v>
      </c>
      <c r="D161" s="42">
        <f>Download!H151</f>
        <v>0</v>
      </c>
      <c r="E161" s="252"/>
      <c r="F161" s="29" t="str">
        <f t="shared" si="24"/>
        <v>-</v>
      </c>
      <c r="G161" s="36"/>
      <c r="H161" s="36"/>
      <c r="I161" s="253"/>
      <c r="J161" s="47">
        <f t="shared" si="22"/>
        <v>0</v>
      </c>
      <c r="K161" s="37">
        <f t="shared" si="23"/>
        <v>0</v>
      </c>
      <c r="L161" s="43">
        <f>IF(ISERROR(VLOOKUP(A161,'Workings Prior Month'!A:N,10,FALSE))=TRUE,0,(VLOOKUP(A161,'Workings Prior Month'!A:N,10,FALSE)))</f>
        <v>0</v>
      </c>
      <c r="M161" s="43">
        <f>IF(ISERROR(VLOOKUP(A161,'Workings Prior Month'!A:N,11,FALSE))=TRUE,0,(VLOOKUP(A161,'Workings Prior Month'!A:N,11,FALSE)))</f>
        <v>0</v>
      </c>
      <c r="N161" s="49">
        <f t="shared" si="26"/>
        <v>0</v>
      </c>
      <c r="O161" s="137">
        <f>IF(ISERROR(VLOOKUP(A161,'Cross ref Tab'!A:C,3,FALSE)=TRUE),9500,VLOOKUP(A161,'Cross ref Tab'!A:C,3,FALSE))</f>
        <v>5300</v>
      </c>
      <c r="P161" s="137">
        <f>IF(A161="","",COUNTIF('Cross ref Tab'!$A$3:$A$311,A161))</f>
        <v>1</v>
      </c>
      <c r="Q161" s="182">
        <f t="shared" si="25"/>
      </c>
      <c r="R161" s="5">
        <f t="shared" si="27"/>
        <v>0</v>
      </c>
      <c r="S161" s="149">
        <f t="shared" si="28"/>
        <v>0</v>
      </c>
      <c r="T161" s="149">
        <f t="shared" si="29"/>
        <v>0</v>
      </c>
      <c r="U161" s="150">
        <f t="shared" si="30"/>
        <v>0</v>
      </c>
      <c r="V161" s="5" t="e">
        <f>VLOOKUP(A161,#REF!,7,FALSE)-C161</f>
        <v>#REF!</v>
      </c>
      <c r="W161" s="5" t="e">
        <f>SUMIF(#REF!,A161,#REF!)-C161</f>
        <v>#REF!</v>
      </c>
      <c r="X161" s="5"/>
      <c r="Y161" s="5"/>
      <c r="Z161" s="5"/>
      <c r="AA161" s="5"/>
      <c r="AB161" s="5"/>
      <c r="AC161" s="5"/>
      <c r="AD161" s="5"/>
      <c r="AE161" s="5"/>
      <c r="AF161" s="5"/>
      <c r="AG161" s="5"/>
      <c r="AH161" s="5"/>
      <c r="AI161" s="5"/>
      <c r="AJ161" s="5"/>
      <c r="AK161" s="5"/>
    </row>
    <row r="162" spans="1:37" ht="15" customHeight="1">
      <c r="A162" s="254" t="str">
        <f>IF(Download!B152="","",Download!B152)</f>
        <v>GTP207</v>
      </c>
      <c r="B162" s="254" t="str">
        <f>IF(Download!C152="","",Download!C152)</f>
        <v>GTP-Income-Accomodation/Admin</v>
      </c>
      <c r="C162" s="45">
        <f>Download!D152</f>
        <v>0</v>
      </c>
      <c r="D162" s="42">
        <f>Download!H152</f>
        <v>0</v>
      </c>
      <c r="E162" s="252"/>
      <c r="F162" s="29" t="str">
        <f t="shared" si="24"/>
        <v>-</v>
      </c>
      <c r="G162" s="36"/>
      <c r="H162" s="36"/>
      <c r="I162" s="253"/>
      <c r="J162" s="47">
        <f t="shared" si="22"/>
        <v>0</v>
      </c>
      <c r="K162" s="37">
        <f t="shared" si="23"/>
        <v>0</v>
      </c>
      <c r="L162" s="43">
        <f>IF(ISERROR(VLOOKUP(A162,'Workings Prior Month'!A:N,10,FALSE))=TRUE,0,(VLOOKUP(A162,'Workings Prior Month'!A:N,10,FALSE)))</f>
        <v>0</v>
      </c>
      <c r="M162" s="43">
        <f>IF(ISERROR(VLOOKUP(A162,'Workings Prior Month'!A:N,11,FALSE))=TRUE,0,(VLOOKUP(A162,'Workings Prior Month'!A:N,11,FALSE)))</f>
        <v>0</v>
      </c>
      <c r="N162" s="49">
        <f t="shared" si="26"/>
        <v>0</v>
      </c>
      <c r="O162" s="137">
        <f>IF(ISERROR(VLOOKUP(A162,'Cross ref Tab'!A:C,3,FALSE)=TRUE),9500,VLOOKUP(A162,'Cross ref Tab'!A:C,3,FALSE))</f>
        <v>5300</v>
      </c>
      <c r="P162" s="137">
        <f>IF(A162="","",COUNTIF('Cross ref Tab'!$A$3:$A$311,A162))</f>
        <v>1</v>
      </c>
      <c r="Q162" s="182">
        <f t="shared" si="25"/>
      </c>
      <c r="R162" s="5">
        <f t="shared" si="27"/>
        <v>0</v>
      </c>
      <c r="S162" s="149">
        <f t="shared" si="28"/>
        <v>0</v>
      </c>
      <c r="T162" s="149">
        <f t="shared" si="29"/>
        <v>0</v>
      </c>
      <c r="U162" s="150">
        <f t="shared" si="30"/>
        <v>0</v>
      </c>
      <c r="V162" s="5" t="e">
        <f>VLOOKUP(A162,#REF!,7,FALSE)-C162</f>
        <v>#REF!</v>
      </c>
      <c r="W162" s="5" t="e">
        <f>SUMIF(#REF!,A162,#REF!)-C162</f>
        <v>#REF!</v>
      </c>
      <c r="X162" s="5"/>
      <c r="Y162" s="5"/>
      <c r="Z162" s="5"/>
      <c r="AA162" s="5"/>
      <c r="AB162" s="5"/>
      <c r="AC162" s="5"/>
      <c r="AD162" s="5"/>
      <c r="AE162" s="5"/>
      <c r="AF162" s="5"/>
      <c r="AG162" s="5"/>
      <c r="AH162" s="5"/>
      <c r="AI162" s="5"/>
      <c r="AJ162" s="5"/>
      <c r="AK162" s="5"/>
    </row>
    <row r="163" spans="1:37" ht="15" customHeight="1">
      <c r="A163" s="254" t="str">
        <f>IF(Download!B153="","",Download!B153)</f>
        <v>SCT201</v>
      </c>
      <c r="B163" s="254" t="str">
        <f>IF(Download!C153="","",Download!C153)</f>
        <v>SCITT Accom/Admin Inc</v>
      </c>
      <c r="C163" s="45">
        <f>Download!D153</f>
        <v>0</v>
      </c>
      <c r="D163" s="42">
        <f>Download!H153</f>
        <v>0</v>
      </c>
      <c r="E163" s="252"/>
      <c r="F163" s="29" t="str">
        <f t="shared" si="24"/>
        <v>-</v>
      </c>
      <c r="G163" s="36"/>
      <c r="H163" s="36"/>
      <c r="I163" s="253"/>
      <c r="J163" s="47">
        <f t="shared" si="22"/>
        <v>0</v>
      </c>
      <c r="K163" s="37">
        <f t="shared" si="23"/>
        <v>0</v>
      </c>
      <c r="L163" s="43">
        <f>IF(ISERROR(VLOOKUP(A163,'Workings Prior Month'!A:N,10,FALSE))=TRUE,0,(VLOOKUP(A163,'Workings Prior Month'!A:N,10,FALSE)))</f>
        <v>0</v>
      </c>
      <c r="M163" s="43">
        <f>IF(ISERROR(VLOOKUP(A163,'Workings Prior Month'!A:N,11,FALSE))=TRUE,0,(VLOOKUP(A163,'Workings Prior Month'!A:N,11,FALSE)))</f>
        <v>0</v>
      </c>
      <c r="N163" s="49">
        <f t="shared" si="26"/>
        <v>0</v>
      </c>
      <c r="O163" s="137">
        <f>IF(ISERROR(VLOOKUP(A163,'Cross ref Tab'!A:C,3,FALSE)=TRUE),9500,VLOOKUP(A163,'Cross ref Tab'!A:C,3,FALSE))</f>
        <v>5300</v>
      </c>
      <c r="P163" s="137">
        <f>IF(A163="","",COUNTIF('Cross ref Tab'!$A$3:$A$311,A163))</f>
        <v>1</v>
      </c>
      <c r="Q163" s="182">
        <f t="shared" si="25"/>
      </c>
      <c r="R163" s="5">
        <f t="shared" si="27"/>
        <v>0</v>
      </c>
      <c r="S163" s="149">
        <f t="shared" si="28"/>
        <v>0</v>
      </c>
      <c r="T163" s="149">
        <f t="shared" si="29"/>
        <v>0</v>
      </c>
      <c r="U163" s="150">
        <f t="shared" si="30"/>
        <v>0</v>
      </c>
      <c r="V163" s="5" t="e">
        <f>VLOOKUP(A163,#REF!,7,FALSE)-C163</f>
        <v>#REF!</v>
      </c>
      <c r="W163" s="5" t="e">
        <f>SUMIF(#REF!,A163,#REF!)-C163</f>
        <v>#REF!</v>
      </c>
      <c r="X163" s="5"/>
      <c r="Y163" s="5"/>
      <c r="Z163" s="5"/>
      <c r="AA163" s="5"/>
      <c r="AB163" s="5"/>
      <c r="AC163" s="5"/>
      <c r="AD163" s="5"/>
      <c r="AE163" s="5"/>
      <c r="AF163" s="5"/>
      <c r="AG163" s="5"/>
      <c r="AH163" s="5"/>
      <c r="AI163" s="5"/>
      <c r="AJ163" s="5"/>
      <c r="AK163" s="5"/>
    </row>
    <row r="164" spans="1:37" ht="15" customHeight="1">
      <c r="A164" s="254" t="str">
        <f>IF(Download!B154="","",Download!B154)</f>
        <v>SCT202</v>
      </c>
      <c r="B164" s="254" t="str">
        <f>IF(Download!C154="","",Download!C154)</f>
        <v>SCITT/Trainee Salaries Inc</v>
      </c>
      <c r="C164" s="45">
        <f>Download!D154</f>
        <v>0</v>
      </c>
      <c r="D164" s="42">
        <f>Download!H154</f>
        <v>0</v>
      </c>
      <c r="E164" s="252"/>
      <c r="F164" s="29" t="str">
        <f t="shared" si="24"/>
        <v>-</v>
      </c>
      <c r="G164" s="36"/>
      <c r="H164" s="36"/>
      <c r="I164" s="253"/>
      <c r="J164" s="47">
        <f t="shared" si="22"/>
        <v>0</v>
      </c>
      <c r="K164" s="37">
        <f t="shared" si="23"/>
        <v>0</v>
      </c>
      <c r="L164" s="43">
        <f>IF(ISERROR(VLOOKUP(A164,'Workings Prior Month'!A:N,10,FALSE))=TRUE,0,(VLOOKUP(A164,'Workings Prior Month'!A:N,10,FALSE)))</f>
        <v>0</v>
      </c>
      <c r="M164" s="43">
        <f>IF(ISERROR(VLOOKUP(A164,'Workings Prior Month'!A:N,11,FALSE))=TRUE,0,(VLOOKUP(A164,'Workings Prior Month'!A:N,11,FALSE)))</f>
        <v>0</v>
      </c>
      <c r="N164" s="49">
        <f t="shared" si="26"/>
        <v>0</v>
      </c>
      <c r="O164" s="137">
        <f>IF(ISERROR(VLOOKUP(A164,'Cross ref Tab'!A:C,3,FALSE)=TRUE),9500,VLOOKUP(A164,'Cross ref Tab'!A:C,3,FALSE))</f>
        <v>5300</v>
      </c>
      <c r="P164" s="137">
        <f>IF(A164="","",COUNTIF('Cross ref Tab'!$A$3:$A$311,A164))</f>
        <v>1</v>
      </c>
      <c r="Q164" s="182">
        <f t="shared" si="25"/>
      </c>
      <c r="R164" s="5">
        <f t="shared" si="27"/>
        <v>0</v>
      </c>
      <c r="S164" s="149">
        <f t="shared" si="28"/>
        <v>0</v>
      </c>
      <c r="T164" s="149">
        <f t="shared" si="29"/>
        <v>0</v>
      </c>
      <c r="U164" s="150">
        <f t="shared" si="30"/>
        <v>0</v>
      </c>
      <c r="V164" s="5" t="e">
        <f>VLOOKUP(A164,#REF!,7,FALSE)-C164</f>
        <v>#REF!</v>
      </c>
      <c r="W164" s="5" t="e">
        <f>SUMIF(#REF!,A164,#REF!)-C164</f>
        <v>#REF!</v>
      </c>
      <c r="X164" s="5"/>
      <c r="Y164" s="5"/>
      <c r="Z164" s="5"/>
      <c r="AA164" s="5"/>
      <c r="AB164" s="5"/>
      <c r="AC164" s="5"/>
      <c r="AD164" s="5"/>
      <c r="AE164" s="5"/>
      <c r="AF164" s="5"/>
      <c r="AG164" s="5"/>
      <c r="AH164" s="5"/>
      <c r="AI164" s="5"/>
      <c r="AJ164" s="5"/>
      <c r="AK164" s="5"/>
    </row>
    <row r="165" spans="1:37" ht="15" customHeight="1">
      <c r="A165" s="254" t="str">
        <f>IF(Download!B155="","",Download!B155)</f>
        <v>SCT203</v>
      </c>
      <c r="B165" s="254" t="str">
        <f>IF(Download!C155="","",Download!C155)</f>
        <v>SCITT Salaries-Income</v>
      </c>
      <c r="C165" s="45">
        <f>Download!D155</f>
        <v>0</v>
      </c>
      <c r="D165" s="42">
        <f>Download!H155</f>
        <v>0</v>
      </c>
      <c r="E165" s="252"/>
      <c r="F165" s="29" t="str">
        <f t="shared" si="24"/>
        <v>-</v>
      </c>
      <c r="G165" s="36"/>
      <c r="H165" s="36"/>
      <c r="I165" s="253"/>
      <c r="J165" s="47">
        <f t="shared" si="22"/>
        <v>0</v>
      </c>
      <c r="K165" s="37">
        <f t="shared" si="23"/>
        <v>0</v>
      </c>
      <c r="L165" s="43">
        <f>IF(ISERROR(VLOOKUP(A165,'Workings Prior Month'!A:N,10,FALSE))=TRUE,0,(VLOOKUP(A165,'Workings Prior Month'!A:N,10,FALSE)))</f>
        <v>0</v>
      </c>
      <c r="M165" s="43">
        <f>IF(ISERROR(VLOOKUP(A165,'Workings Prior Month'!A:N,11,FALSE))=TRUE,0,(VLOOKUP(A165,'Workings Prior Month'!A:N,11,FALSE)))</f>
        <v>0</v>
      </c>
      <c r="N165" s="49">
        <f t="shared" si="26"/>
        <v>0</v>
      </c>
      <c r="O165" s="137">
        <f>IF(ISERROR(VLOOKUP(A165,'Cross ref Tab'!A:C,3,FALSE)=TRUE),9500,VLOOKUP(A165,'Cross ref Tab'!A:C,3,FALSE))</f>
        <v>5300</v>
      </c>
      <c r="P165" s="137">
        <f>IF(A165="","",COUNTIF('Cross ref Tab'!$A$3:$A$311,A165))</f>
        <v>1</v>
      </c>
      <c r="Q165" s="182">
        <f t="shared" si="25"/>
      </c>
      <c r="R165" s="5">
        <f t="shared" si="27"/>
        <v>0</v>
      </c>
      <c r="S165" s="149">
        <f t="shared" si="28"/>
        <v>0</v>
      </c>
      <c r="T165" s="149">
        <f t="shared" si="29"/>
        <v>0</v>
      </c>
      <c r="U165" s="150">
        <f t="shared" si="30"/>
        <v>0</v>
      </c>
      <c r="V165" s="5" t="e">
        <f>VLOOKUP(A165,#REF!,7,FALSE)-C165</f>
        <v>#REF!</v>
      </c>
      <c r="W165" s="5" t="e">
        <f>SUMIF(#REF!,A165,#REF!)-C165</f>
        <v>#REF!</v>
      </c>
      <c r="X165" s="5"/>
      <c r="Y165" s="5"/>
      <c r="Z165" s="5"/>
      <c r="AA165" s="5"/>
      <c r="AB165" s="5"/>
      <c r="AC165" s="5"/>
      <c r="AD165" s="5"/>
      <c r="AE165" s="5"/>
      <c r="AF165" s="5"/>
      <c r="AG165" s="5"/>
      <c r="AH165" s="5"/>
      <c r="AI165" s="5"/>
      <c r="AJ165" s="5"/>
      <c r="AK165" s="5"/>
    </row>
    <row r="166" spans="1:37" ht="15" customHeight="1">
      <c r="A166" s="70" t="str">
        <f>IF(Download!B156="","",Download!B156)</f>
        <v>SCT204</v>
      </c>
      <c r="B166" s="70" t="str">
        <f>IF(Download!C156="","",Download!C156)</f>
        <v>SCITT Trv Exps/Repro</v>
      </c>
      <c r="C166" s="45">
        <f>Download!D156</f>
        <v>0</v>
      </c>
      <c r="D166" s="42">
        <f>Download!H156</f>
        <v>0</v>
      </c>
      <c r="E166" s="252"/>
      <c r="F166" s="29" t="str">
        <f t="shared" si="24"/>
        <v>-</v>
      </c>
      <c r="G166" s="36"/>
      <c r="H166" s="36"/>
      <c r="I166" s="36"/>
      <c r="J166" s="47">
        <f t="shared" si="22"/>
        <v>0</v>
      </c>
      <c r="K166" s="37">
        <f t="shared" si="23"/>
        <v>0</v>
      </c>
      <c r="L166" s="43">
        <f>IF(ISERROR(VLOOKUP(A166,'Workings Prior Month'!A:N,10,FALSE))=TRUE,0,(VLOOKUP(A166,'Workings Prior Month'!A:N,10,FALSE)))</f>
        <v>0</v>
      </c>
      <c r="M166" s="43">
        <f>IF(ISERROR(VLOOKUP(A166,'Workings Prior Month'!A:N,11,FALSE))=TRUE,0,(VLOOKUP(A166,'Workings Prior Month'!A:N,11,FALSE)))</f>
        <v>0</v>
      </c>
      <c r="N166" s="49">
        <f t="shared" si="26"/>
        <v>0</v>
      </c>
      <c r="O166" s="137">
        <f>IF(ISERROR(VLOOKUP(A166,'Cross ref Tab'!A:C,3,FALSE)=TRUE),9500,VLOOKUP(A166,'Cross ref Tab'!A:C,3,FALSE))</f>
        <v>1250</v>
      </c>
      <c r="P166" s="137">
        <f>IF(A166="","",COUNTIF('Cross ref Tab'!$A$3:$A$311,A166))</f>
        <v>1</v>
      </c>
      <c r="Q166" s="182">
        <f t="shared" si="25"/>
      </c>
      <c r="R166" s="5">
        <f t="shared" si="27"/>
        <v>0</v>
      </c>
      <c r="S166" s="149">
        <f t="shared" si="28"/>
        <v>0</v>
      </c>
      <c r="T166" s="149">
        <f t="shared" si="29"/>
        <v>0</v>
      </c>
      <c r="U166" s="150">
        <f t="shared" si="30"/>
        <v>0</v>
      </c>
      <c r="V166" s="5" t="e">
        <f>VLOOKUP(A166,#REF!,7,FALSE)-C166</f>
        <v>#REF!</v>
      </c>
      <c r="W166" s="5" t="e">
        <f>SUMIF(#REF!,A166,#REF!)-C166</f>
        <v>#REF!</v>
      </c>
      <c r="X166" s="5"/>
      <c r="Y166" s="5"/>
      <c r="Z166" s="5"/>
      <c r="AA166" s="5"/>
      <c r="AB166" s="5"/>
      <c r="AC166" s="5"/>
      <c r="AD166" s="5"/>
      <c r="AE166" s="5"/>
      <c r="AF166" s="5"/>
      <c r="AG166" s="5"/>
      <c r="AH166" s="5"/>
      <c r="AI166" s="5"/>
      <c r="AJ166" s="5"/>
      <c r="AK166" s="5"/>
    </row>
    <row r="167" spans="1:37" ht="15" customHeight="1">
      <c r="A167" s="70" t="str">
        <f>IF(Download!B157="","",Download!B157)</f>
        <v>SCT205</v>
      </c>
      <c r="B167" s="70" t="str">
        <f>IF(Download!C157="","",Download!C157)</f>
        <v>SCITT Salaries-Ex</v>
      </c>
      <c r="C167" s="45">
        <f>Download!D157</f>
        <v>0</v>
      </c>
      <c r="D167" s="42">
        <f>Download!H157</f>
        <v>0</v>
      </c>
      <c r="E167" s="252"/>
      <c r="F167" s="29" t="str">
        <f t="shared" si="24"/>
        <v>-</v>
      </c>
      <c r="G167" s="36"/>
      <c r="H167" s="36"/>
      <c r="I167" s="36"/>
      <c r="J167" s="47">
        <f t="shared" si="22"/>
        <v>0</v>
      </c>
      <c r="K167" s="37">
        <f t="shared" si="23"/>
        <v>0</v>
      </c>
      <c r="L167" s="43">
        <f>IF(ISERROR(VLOOKUP(A167,'Workings Prior Month'!A:N,10,FALSE))=TRUE,0,(VLOOKUP(A167,'Workings Prior Month'!A:N,10,FALSE)))</f>
        <v>0</v>
      </c>
      <c r="M167" s="43">
        <f>IF(ISERROR(VLOOKUP(A167,'Workings Prior Month'!A:N,11,FALSE))=TRUE,0,(VLOOKUP(A167,'Workings Prior Month'!A:N,11,FALSE)))</f>
        <v>0</v>
      </c>
      <c r="N167" s="49">
        <f t="shared" si="26"/>
        <v>0</v>
      </c>
      <c r="O167" s="137">
        <f>IF(ISERROR(VLOOKUP(A167,'Cross ref Tab'!A:C,3,FALSE)=TRUE),9500,VLOOKUP(A167,'Cross ref Tab'!A:C,3,FALSE))</f>
        <v>1250</v>
      </c>
      <c r="P167" s="137">
        <f>IF(A167="","",COUNTIF('Cross ref Tab'!$A$3:$A$311,A167))</f>
        <v>1</v>
      </c>
      <c r="Q167" s="182">
        <f t="shared" si="25"/>
      </c>
      <c r="R167" s="5">
        <f t="shared" si="27"/>
        <v>0</v>
      </c>
      <c r="S167" s="149">
        <f t="shared" si="28"/>
        <v>0</v>
      </c>
      <c r="T167" s="149">
        <f t="shared" si="29"/>
        <v>0</v>
      </c>
      <c r="U167" s="150">
        <f t="shared" si="30"/>
        <v>0</v>
      </c>
      <c r="V167" s="5" t="e">
        <f>VLOOKUP(A167,#REF!,7,FALSE)-C167</f>
        <v>#REF!</v>
      </c>
      <c r="W167" s="5" t="e">
        <f>SUMIF(#REF!,A167,#REF!)-C167</f>
        <v>#REF!</v>
      </c>
      <c r="X167" s="5"/>
      <c r="Y167" s="5"/>
      <c r="Z167" s="5"/>
      <c r="AA167" s="5"/>
      <c r="AB167" s="5"/>
      <c r="AC167" s="5"/>
      <c r="AD167" s="5"/>
      <c r="AE167" s="5"/>
      <c r="AF167" s="5"/>
      <c r="AG167" s="5"/>
      <c r="AH167" s="5"/>
      <c r="AI167" s="5"/>
      <c r="AJ167" s="5"/>
      <c r="AK167" s="5"/>
    </row>
    <row r="168" spans="1:37" ht="15" customHeight="1">
      <c r="A168" s="70" t="str">
        <f>IF(Download!B158="","",Download!B158)</f>
        <v>SFLAC</v>
      </c>
      <c r="B168" s="70" t="str">
        <f>IF(Download!C158="","",Download!C158)</f>
        <v>SF-Looked After Children</v>
      </c>
      <c r="C168" s="45">
        <f>Download!D158</f>
        <v>2000</v>
      </c>
      <c r="D168" s="42">
        <f>Download!H158</f>
        <v>496.59</v>
      </c>
      <c r="E168" s="252"/>
      <c r="F168" s="29">
        <f t="shared" si="24"/>
        <v>0.7517050000000001</v>
      </c>
      <c r="G168" s="36"/>
      <c r="H168" s="36">
        <v>496.59</v>
      </c>
      <c r="I168" s="253"/>
      <c r="J168" s="47">
        <f t="shared" si="22"/>
        <v>0</v>
      </c>
      <c r="K168" s="37">
        <f t="shared" si="23"/>
        <v>0</v>
      </c>
      <c r="L168" s="43">
        <f>IF(ISERROR(VLOOKUP(A168,'Workings Prior Month'!A:N,10,FALSE))=TRUE,0,(VLOOKUP(A168,'Workings Prior Month'!A:N,10,FALSE)))</f>
        <v>0</v>
      </c>
      <c r="M168" s="43">
        <f>IF(ISERROR(VLOOKUP(A168,'Workings Prior Month'!A:N,11,FALSE))=TRUE,0,(VLOOKUP(A168,'Workings Prior Month'!A:N,11,FALSE)))</f>
        <v>0</v>
      </c>
      <c r="N168" s="49">
        <f t="shared" si="26"/>
        <v>0</v>
      </c>
      <c r="O168" s="137">
        <f>IF(ISERROR(VLOOKUP(A168,'Cross ref Tab'!A:C,3,FALSE)=TRUE),9500,VLOOKUP(A168,'Cross ref Tab'!A:C,3,FALSE))</f>
        <v>5300</v>
      </c>
      <c r="P168" s="137">
        <f>IF(A168="","",COUNTIF('Cross ref Tab'!$A$3:$A$311,A168))</f>
        <v>1</v>
      </c>
      <c r="Q168" s="182">
        <f t="shared" si="25"/>
      </c>
      <c r="R168" s="5">
        <f t="shared" si="27"/>
        <v>2000</v>
      </c>
      <c r="S168" s="149">
        <f t="shared" si="28"/>
        <v>2000</v>
      </c>
      <c r="T168" s="149">
        <f t="shared" si="29"/>
        <v>0</v>
      </c>
      <c r="U168" s="150">
        <f t="shared" si="30"/>
        <v>0</v>
      </c>
      <c r="V168" s="5" t="e">
        <f>VLOOKUP(A168,#REF!,7,FALSE)-C168</f>
        <v>#REF!</v>
      </c>
      <c r="W168" s="5" t="e">
        <f>SUMIF(#REF!,A168,#REF!)-C168</f>
        <v>#REF!</v>
      </c>
      <c r="X168" s="5"/>
      <c r="Y168" s="5"/>
      <c r="Z168" s="5"/>
      <c r="AA168" s="5"/>
      <c r="AB168" s="5"/>
      <c r="AC168" s="5"/>
      <c r="AD168" s="5"/>
      <c r="AE168" s="5"/>
      <c r="AF168" s="5"/>
      <c r="AG168" s="5"/>
      <c r="AH168" s="5"/>
      <c r="AI168" s="5"/>
      <c r="AJ168" s="5"/>
      <c r="AK168" s="5"/>
    </row>
    <row r="169" spans="1:37" ht="15" customHeight="1">
      <c r="A169" s="254" t="str">
        <f>IF(Download!B159="","",Download!B159)</f>
        <v>SG102</v>
      </c>
      <c r="B169" s="254" t="str">
        <f>IF(Download!C159="","",Download!C159)</f>
        <v>Sportivate Income</v>
      </c>
      <c r="C169" s="45">
        <f>Download!D159</f>
        <v>0</v>
      </c>
      <c r="D169" s="42">
        <f>Download!H159</f>
        <v>0</v>
      </c>
      <c r="E169" s="252"/>
      <c r="F169" s="29" t="str">
        <f t="shared" si="24"/>
        <v>-</v>
      </c>
      <c r="G169" s="36"/>
      <c r="H169" s="36"/>
      <c r="I169" s="253"/>
      <c r="J169" s="47">
        <f t="shared" si="22"/>
        <v>0</v>
      </c>
      <c r="K169" s="37">
        <f t="shared" si="23"/>
        <v>0</v>
      </c>
      <c r="L169" s="43">
        <f>IF(ISERROR(VLOOKUP(A169,'Workings Prior Month'!A:N,10,FALSE))=TRUE,0,(VLOOKUP(A169,'Workings Prior Month'!A:N,10,FALSE)))</f>
        <v>0</v>
      </c>
      <c r="M169" s="43">
        <f>IF(ISERROR(VLOOKUP(A169,'Workings Prior Month'!A:N,11,FALSE))=TRUE,0,(VLOOKUP(A169,'Workings Prior Month'!A:N,11,FALSE)))</f>
        <v>0</v>
      </c>
      <c r="N169" s="49">
        <f t="shared" si="26"/>
        <v>0</v>
      </c>
      <c r="O169" s="137">
        <f>IF(ISERROR(VLOOKUP(A169,'Cross ref Tab'!A:C,3,FALSE)=TRUE),9500,VLOOKUP(A169,'Cross ref Tab'!A:C,3,FALSE))</f>
        <v>5300</v>
      </c>
      <c r="P169" s="137">
        <f>IF(A169="","",COUNTIF('Cross ref Tab'!$A$3:$A$311,A169))</f>
        <v>1</v>
      </c>
      <c r="Q169" s="182">
        <f t="shared" si="25"/>
      </c>
      <c r="R169" s="5">
        <f t="shared" si="27"/>
        <v>0</v>
      </c>
      <c r="S169" s="149">
        <f t="shared" si="28"/>
        <v>0</v>
      </c>
      <c r="T169" s="149">
        <f t="shared" si="29"/>
        <v>0</v>
      </c>
      <c r="U169" s="150">
        <f t="shared" si="30"/>
        <v>0</v>
      </c>
      <c r="V169" s="5" t="e">
        <f>VLOOKUP(A169,#REF!,7,FALSE)-C169</f>
        <v>#REF!</v>
      </c>
      <c r="W169" s="5" t="e">
        <f>SUMIF(#REF!,A169,#REF!)-C169</f>
        <v>#REF!</v>
      </c>
      <c r="X169" s="5"/>
      <c r="Y169" s="5"/>
      <c r="Z169" s="5"/>
      <c r="AA169" s="5"/>
      <c r="AB169" s="5"/>
      <c r="AC169" s="5"/>
      <c r="AD169" s="5"/>
      <c r="AE169" s="5"/>
      <c r="AF169" s="5"/>
      <c r="AG169" s="5"/>
      <c r="AH169" s="5"/>
      <c r="AI169" s="5"/>
      <c r="AJ169" s="5"/>
      <c r="AK169" s="5"/>
    </row>
    <row r="170" spans="1:37" ht="15" customHeight="1">
      <c r="A170" s="254" t="str">
        <f>IF(Download!B160="","",Download!B160)</f>
        <v>SG150</v>
      </c>
      <c r="B170" s="254" t="str">
        <f>IF(Download!C160="","",Download!C160)</f>
        <v>School Games</v>
      </c>
      <c r="C170" s="45">
        <f>Download!D160</f>
        <v>4500</v>
      </c>
      <c r="D170" s="42">
        <f>Download!H160</f>
        <v>5546.1</v>
      </c>
      <c r="E170" s="252"/>
      <c r="F170" s="29">
        <f t="shared" si="24"/>
        <v>-0.23246666666666674</v>
      </c>
      <c r="G170" s="36"/>
      <c r="H170" s="36">
        <v>5546.1</v>
      </c>
      <c r="I170" s="253"/>
      <c r="J170" s="47">
        <f t="shared" si="22"/>
        <v>0</v>
      </c>
      <c r="K170" s="37">
        <f t="shared" si="23"/>
        <v>0</v>
      </c>
      <c r="L170" s="43">
        <f>IF(ISERROR(VLOOKUP(A170,'Workings Prior Month'!A:N,10,FALSE))=TRUE,0,(VLOOKUP(A170,'Workings Prior Month'!A:N,10,FALSE)))</f>
        <v>0</v>
      </c>
      <c r="M170" s="43">
        <f>IF(ISERROR(VLOOKUP(A170,'Workings Prior Month'!A:N,11,FALSE))=TRUE,0,(VLOOKUP(A170,'Workings Prior Month'!A:N,11,FALSE)))</f>
        <v>0</v>
      </c>
      <c r="N170" s="49">
        <f t="shared" si="26"/>
        <v>0</v>
      </c>
      <c r="O170" s="137">
        <f>IF(ISERROR(VLOOKUP(A170,'Cross ref Tab'!A:C,3,FALSE)=TRUE),9500,VLOOKUP(A170,'Cross ref Tab'!A:C,3,FALSE))</f>
        <v>1650</v>
      </c>
      <c r="P170" s="137">
        <f>IF(A170="","",COUNTIF('Cross ref Tab'!$A$3:$A$311,A170))</f>
        <v>1</v>
      </c>
      <c r="Q170" s="182">
        <f t="shared" si="25"/>
      </c>
      <c r="R170" s="5">
        <f t="shared" si="27"/>
        <v>4500</v>
      </c>
      <c r="S170" s="149">
        <f t="shared" si="28"/>
        <v>4500</v>
      </c>
      <c r="T170" s="149">
        <f t="shared" si="29"/>
        <v>0</v>
      </c>
      <c r="U170" s="150">
        <f t="shared" si="30"/>
        <v>0</v>
      </c>
      <c r="V170" s="5" t="e">
        <f>VLOOKUP(A170,#REF!,7,FALSE)-C170</f>
        <v>#REF!</v>
      </c>
      <c r="W170" s="5" t="e">
        <f>SUMIF(#REF!,A170,#REF!)-C170</f>
        <v>#REF!</v>
      </c>
      <c r="X170" s="5"/>
      <c r="Y170" s="5"/>
      <c r="Z170" s="5"/>
      <c r="AA170" s="5"/>
      <c r="AB170" s="5"/>
      <c r="AC170" s="5"/>
      <c r="AD170" s="5"/>
      <c r="AE170" s="5"/>
      <c r="AF170" s="5"/>
      <c r="AG170" s="5"/>
      <c r="AH170" s="5"/>
      <c r="AI170" s="5"/>
      <c r="AJ170" s="5"/>
      <c r="AK170" s="5"/>
    </row>
    <row r="171" spans="1:37" ht="15" customHeight="1">
      <c r="A171" s="254" t="str">
        <f>IF(Download!B161="","",Download!B161)</f>
        <v>SG150A</v>
      </c>
      <c r="B171" s="254" t="str">
        <f>IF(Download!C161="","",Download!C161)</f>
        <v>SGO Salary Income</v>
      </c>
      <c r="C171" s="45">
        <f>Download!D161</f>
        <v>-13800</v>
      </c>
      <c r="D171" s="42">
        <f>Download!H161</f>
        <v>83</v>
      </c>
      <c r="E171" s="252"/>
      <c r="F171" s="29">
        <f t="shared" si="24"/>
        <v>1.0060144927536232</v>
      </c>
      <c r="G171" s="36"/>
      <c r="H171" s="36"/>
      <c r="I171" s="36"/>
      <c r="J171" s="47">
        <f t="shared" si="22"/>
        <v>83</v>
      </c>
      <c r="K171" s="37">
        <f t="shared" si="23"/>
        <v>0</v>
      </c>
      <c r="L171" s="43">
        <f>IF(ISERROR(VLOOKUP(A171,'Workings Prior Month'!A:N,10,FALSE))=TRUE,0,(VLOOKUP(A171,'Workings Prior Month'!A:N,10,FALSE)))</f>
        <v>83</v>
      </c>
      <c r="M171" s="43">
        <f>IF(ISERROR(VLOOKUP(A171,'Workings Prior Month'!A:N,11,FALSE))=TRUE,0,(VLOOKUP(A171,'Workings Prior Month'!A:N,11,FALSE)))</f>
        <v>0</v>
      </c>
      <c r="N171" s="49">
        <f t="shared" si="26"/>
        <v>0</v>
      </c>
      <c r="O171" s="137">
        <f>IF(ISERROR(VLOOKUP(A171,'Cross ref Tab'!A:C,3,FALSE)=TRUE),9500,VLOOKUP(A171,'Cross ref Tab'!A:C,3,FALSE))</f>
        <v>5300</v>
      </c>
      <c r="P171" s="137">
        <f>IF(A171="","",COUNTIF('Cross ref Tab'!$A$3:$A$311,A171))</f>
        <v>1</v>
      </c>
      <c r="Q171" s="182">
        <f t="shared" si="25"/>
      </c>
      <c r="R171" s="5">
        <f t="shared" si="27"/>
        <v>-13800</v>
      </c>
      <c r="S171" s="149">
        <f t="shared" si="28"/>
        <v>-13883</v>
      </c>
      <c r="T171" s="149">
        <f t="shared" si="29"/>
        <v>83</v>
      </c>
      <c r="U171" s="150">
        <f t="shared" si="30"/>
        <v>83</v>
      </c>
      <c r="V171" s="5" t="e">
        <f>VLOOKUP(A171,#REF!,7,FALSE)-C171</f>
        <v>#REF!</v>
      </c>
      <c r="W171" s="5" t="e">
        <f>SUMIF(#REF!,A171,#REF!)-C171</f>
        <v>#REF!</v>
      </c>
      <c r="X171" s="5"/>
      <c r="Y171" s="5"/>
      <c r="Z171" s="5"/>
      <c r="AA171" s="5"/>
      <c r="AB171" s="5"/>
      <c r="AC171" s="5"/>
      <c r="AD171" s="5"/>
      <c r="AE171" s="5"/>
      <c r="AF171" s="5"/>
      <c r="AG171" s="5"/>
      <c r="AH171" s="5"/>
      <c r="AI171" s="5"/>
      <c r="AJ171" s="5"/>
      <c r="AK171" s="5"/>
    </row>
    <row r="172" spans="1:37" ht="15" customHeight="1">
      <c r="A172" s="70" t="str">
        <f>IF(Download!B162="","",Download!B162)</f>
        <v>SG151</v>
      </c>
      <c r="B172" s="70" t="str">
        <f>IF(Download!C162="","",Download!C162)</f>
        <v>Sportivate Expenditure</v>
      </c>
      <c r="C172" s="45">
        <f>Download!D162</f>
        <v>1133</v>
      </c>
      <c r="D172" s="42">
        <f>Download!H162</f>
        <v>1133</v>
      </c>
      <c r="E172" s="252"/>
      <c r="F172" s="29">
        <f t="shared" si="24"/>
        <v>0</v>
      </c>
      <c r="G172" s="36"/>
      <c r="H172" s="36">
        <v>1133</v>
      </c>
      <c r="I172" s="36"/>
      <c r="J172" s="47">
        <f t="shared" si="22"/>
        <v>0</v>
      </c>
      <c r="K172" s="37">
        <f t="shared" si="23"/>
        <v>0</v>
      </c>
      <c r="L172" s="43">
        <f>IF(ISERROR(VLOOKUP(A172,'Workings Prior Month'!A:N,10,FALSE))=TRUE,0,(VLOOKUP(A172,'Workings Prior Month'!A:N,10,FALSE)))</f>
        <v>0</v>
      </c>
      <c r="M172" s="43">
        <f>IF(ISERROR(VLOOKUP(A172,'Workings Prior Month'!A:N,11,FALSE))=TRUE,0,(VLOOKUP(A172,'Workings Prior Month'!A:N,11,FALSE)))</f>
        <v>0</v>
      </c>
      <c r="N172" s="49">
        <f t="shared" si="26"/>
        <v>0</v>
      </c>
      <c r="O172" s="137">
        <f>IF(ISERROR(VLOOKUP(A172,'Cross ref Tab'!A:C,3,FALSE)=TRUE),9500,VLOOKUP(A172,'Cross ref Tab'!A:C,3,FALSE))</f>
        <v>1650</v>
      </c>
      <c r="P172" s="137">
        <f>IF(A172="","",COUNTIF('Cross ref Tab'!$A$3:$A$311,A172))</f>
        <v>1</v>
      </c>
      <c r="Q172" s="182">
        <f t="shared" si="25"/>
      </c>
      <c r="R172" s="5">
        <f t="shared" si="27"/>
        <v>1133</v>
      </c>
      <c r="S172" s="149">
        <f t="shared" si="28"/>
        <v>1133</v>
      </c>
      <c r="T172" s="149">
        <f t="shared" si="29"/>
        <v>0</v>
      </c>
      <c r="U172" s="150">
        <f t="shared" si="30"/>
        <v>0</v>
      </c>
      <c r="V172" s="5" t="e">
        <f>VLOOKUP(A172,#REF!,7,FALSE)-C172</f>
        <v>#REF!</v>
      </c>
      <c r="W172" s="5" t="e">
        <f>SUMIF(#REF!,A172,#REF!)-C172</f>
        <v>#REF!</v>
      </c>
      <c r="X172" s="5"/>
      <c r="Y172" s="5"/>
      <c r="Z172" s="5"/>
      <c r="AA172" s="5"/>
      <c r="AB172" s="5"/>
      <c r="AC172" s="5"/>
      <c r="AD172" s="5"/>
      <c r="AE172" s="5"/>
      <c r="AF172" s="5"/>
      <c r="AG172" s="5"/>
      <c r="AH172" s="5"/>
      <c r="AI172" s="5"/>
      <c r="AJ172" s="5"/>
      <c r="AK172" s="5"/>
    </row>
    <row r="173" spans="1:37" ht="15" customHeight="1">
      <c r="A173" s="70" t="str">
        <f>IF(Download!B163="","",Download!B163)</f>
        <v>SG152</v>
      </c>
      <c r="B173" s="290" t="str">
        <f>IF(Download!C163="","",Download!C163)</f>
        <v>School GSLA</v>
      </c>
      <c r="C173" s="45">
        <f>Download!D163</f>
        <v>0</v>
      </c>
      <c r="D173" s="42">
        <f>Download!H163</f>
        <v>0</v>
      </c>
      <c r="E173" s="252"/>
      <c r="F173" s="29" t="str">
        <f t="shared" si="24"/>
        <v>-</v>
      </c>
      <c r="G173" s="36"/>
      <c r="H173" s="36"/>
      <c r="I173" s="36"/>
      <c r="J173" s="47">
        <f t="shared" si="22"/>
        <v>0</v>
      </c>
      <c r="K173" s="37">
        <f t="shared" si="23"/>
        <v>0</v>
      </c>
      <c r="L173" s="43">
        <f>IF(ISERROR(VLOOKUP(A173,'Workings Prior Month'!A:N,10,FALSE))=TRUE,0,(VLOOKUP(A173,'Workings Prior Month'!A:N,10,FALSE)))</f>
        <v>0</v>
      </c>
      <c r="M173" s="43">
        <f>IF(ISERROR(VLOOKUP(A173,'Workings Prior Month'!A:N,11,FALSE))=TRUE,0,(VLOOKUP(A173,'Workings Prior Month'!A:N,11,FALSE)))</f>
        <v>0</v>
      </c>
      <c r="N173" s="49">
        <f t="shared" si="26"/>
        <v>0</v>
      </c>
      <c r="O173" s="137">
        <f>IF(ISERROR(VLOOKUP(A173,'Cross ref Tab'!A:C,3,FALSE)=TRUE),9500,VLOOKUP(A173,'Cross ref Tab'!A:C,3,FALSE))</f>
        <v>1650</v>
      </c>
      <c r="P173" s="137">
        <f>IF(A173="","",COUNTIF('Cross ref Tab'!$A$3:$A$311,A173))</f>
        <v>1</v>
      </c>
      <c r="Q173" s="182">
        <f t="shared" si="25"/>
      </c>
      <c r="R173" s="5">
        <f t="shared" si="27"/>
        <v>0</v>
      </c>
      <c r="S173" s="149">
        <f t="shared" si="28"/>
        <v>0</v>
      </c>
      <c r="T173" s="149">
        <f t="shared" si="29"/>
        <v>0</v>
      </c>
      <c r="U173" s="150">
        <f t="shared" si="30"/>
        <v>0</v>
      </c>
      <c r="V173" s="5" t="e">
        <f>VLOOKUP(A173,#REF!,7,FALSE)-C173</f>
        <v>#REF!</v>
      </c>
      <c r="W173" s="5" t="e">
        <f>SUMIF(#REF!,A173,#REF!)-C173</f>
        <v>#REF!</v>
      </c>
      <c r="X173" s="5"/>
      <c r="Y173" s="5"/>
      <c r="Z173" s="5"/>
      <c r="AA173" s="5"/>
      <c r="AB173" s="5"/>
      <c r="AC173" s="5"/>
      <c r="AD173" s="5"/>
      <c r="AE173" s="5"/>
      <c r="AF173" s="5"/>
      <c r="AG173" s="5"/>
      <c r="AH173" s="5"/>
      <c r="AI173" s="5"/>
      <c r="AJ173" s="5"/>
      <c r="AK173" s="5"/>
    </row>
    <row r="174" spans="1:37" ht="15" customHeight="1">
      <c r="A174" s="70" t="str">
        <f>IF(Download!B164="","",Download!B164)</f>
        <v>SG152A</v>
      </c>
      <c r="B174" s="70" t="str">
        <f>IF(Download!C164="","",Download!C164)</f>
        <v>School Games-SLA Income</v>
      </c>
      <c r="C174" s="45">
        <f>Download!D164</f>
        <v>0</v>
      </c>
      <c r="D174" s="42">
        <f>Download!H164</f>
        <v>0</v>
      </c>
      <c r="E174" s="252"/>
      <c r="F174" s="29" t="str">
        <f t="shared" si="24"/>
        <v>-</v>
      </c>
      <c r="G174" s="36"/>
      <c r="H174" s="36"/>
      <c r="I174" s="253"/>
      <c r="J174" s="47">
        <f t="shared" si="22"/>
        <v>0</v>
      </c>
      <c r="K174" s="37">
        <f t="shared" si="23"/>
        <v>0</v>
      </c>
      <c r="L174" s="43">
        <f>IF(ISERROR(VLOOKUP(A174,'Workings Prior Month'!A:N,10,FALSE))=TRUE,0,(VLOOKUP(A174,'Workings Prior Month'!A:N,10,FALSE)))</f>
        <v>0</v>
      </c>
      <c r="M174" s="43">
        <f>IF(ISERROR(VLOOKUP(A174,'Workings Prior Month'!A:N,11,FALSE))=TRUE,0,(VLOOKUP(A174,'Workings Prior Month'!A:N,11,FALSE)))</f>
        <v>0</v>
      </c>
      <c r="N174" s="49">
        <f t="shared" si="26"/>
        <v>0</v>
      </c>
      <c r="O174" s="137">
        <f>IF(ISERROR(VLOOKUP(A174,'Cross ref Tab'!A:C,3,FALSE)=TRUE),9500,VLOOKUP(A174,'Cross ref Tab'!A:C,3,FALSE))</f>
        <v>5300</v>
      </c>
      <c r="P174" s="137">
        <f>IF(A174="","",COUNTIF('Cross ref Tab'!$A$3:$A$311,A174))</f>
        <v>1</v>
      </c>
      <c r="Q174" s="182">
        <f t="shared" si="25"/>
      </c>
      <c r="R174" s="5">
        <f t="shared" si="27"/>
        <v>0</v>
      </c>
      <c r="S174" s="149">
        <f t="shared" si="28"/>
        <v>0</v>
      </c>
      <c r="T174" s="149">
        <f t="shared" si="29"/>
        <v>0</v>
      </c>
      <c r="U174" s="150">
        <f t="shared" si="30"/>
        <v>0</v>
      </c>
      <c r="V174" s="5" t="e">
        <f>VLOOKUP(A174,#REF!,7,FALSE)-C174</f>
        <v>#REF!</v>
      </c>
      <c r="W174" s="5" t="e">
        <f>SUMIF(#REF!,A174,#REF!)-C174</f>
        <v>#REF!</v>
      </c>
      <c r="X174" s="5"/>
      <c r="Y174" s="5"/>
      <c r="Z174" s="5"/>
      <c r="AA174" s="5"/>
      <c r="AB174" s="5"/>
      <c r="AC174" s="5"/>
      <c r="AD174" s="5"/>
      <c r="AE174" s="5"/>
      <c r="AF174" s="5"/>
      <c r="AG174" s="5"/>
      <c r="AH174" s="5"/>
      <c r="AI174" s="5"/>
      <c r="AJ174" s="5"/>
      <c r="AK174" s="5"/>
    </row>
    <row r="175" spans="1:37" ht="15" customHeight="1">
      <c r="A175" s="70" t="str">
        <f>IF(Download!B165="","",Download!B165)</f>
        <v>TR901</v>
      </c>
      <c r="B175" s="70" t="str">
        <f>IF(Download!C165="","",Download!C165)</f>
        <v>Science Revision Guide/Workbook</v>
      </c>
      <c r="C175" s="45">
        <f>Download!D165</f>
        <v>0</v>
      </c>
      <c r="D175" s="42">
        <f>Download!H165</f>
        <v>0</v>
      </c>
      <c r="E175" s="252"/>
      <c r="F175" s="29" t="str">
        <f t="shared" si="24"/>
        <v>-</v>
      </c>
      <c r="G175" s="36"/>
      <c r="H175" s="36"/>
      <c r="I175" s="253"/>
      <c r="J175" s="47">
        <f t="shared" si="22"/>
        <v>0</v>
      </c>
      <c r="K175" s="37">
        <f t="shared" si="23"/>
        <v>0</v>
      </c>
      <c r="L175" s="43">
        <f>IF(ISERROR(VLOOKUP(A175,'Workings Prior Month'!A:N,10,FALSE))=TRUE,0,(VLOOKUP(A175,'Workings Prior Month'!A:N,10,FALSE)))</f>
        <v>0</v>
      </c>
      <c r="M175" s="43">
        <f>IF(ISERROR(VLOOKUP(A175,'Workings Prior Month'!A:N,11,FALSE))=TRUE,0,(VLOOKUP(A175,'Workings Prior Month'!A:N,11,FALSE)))</f>
        <v>0</v>
      </c>
      <c r="N175" s="49">
        <f t="shared" si="26"/>
        <v>0</v>
      </c>
      <c r="O175" s="137">
        <f>IF(ISERROR(VLOOKUP(A175,'Cross ref Tab'!A:C,3,FALSE)=TRUE),9500,VLOOKUP(A175,'Cross ref Tab'!A:C,3,FALSE))</f>
        <v>4000</v>
      </c>
      <c r="P175" s="137">
        <f>IF(A175="","",COUNTIF('Cross ref Tab'!$A$3:$A$311,A175))</f>
        <v>1</v>
      </c>
      <c r="Q175" s="182">
        <f t="shared" si="25"/>
      </c>
      <c r="R175" s="5">
        <f t="shared" si="27"/>
        <v>0</v>
      </c>
      <c r="S175" s="149">
        <f t="shared" si="28"/>
        <v>0</v>
      </c>
      <c r="T175" s="149">
        <f t="shared" si="29"/>
        <v>0</v>
      </c>
      <c r="U175" s="150">
        <f t="shared" si="30"/>
        <v>0</v>
      </c>
      <c r="V175" s="5" t="e">
        <f>VLOOKUP(A175,#REF!,7,FALSE)-C175</f>
        <v>#REF!</v>
      </c>
      <c r="W175" s="5" t="e">
        <f>SUMIF(#REF!,A175,#REF!)-C175</f>
        <v>#REF!</v>
      </c>
      <c r="X175" s="5"/>
      <c r="Y175" s="5"/>
      <c r="Z175" s="5"/>
      <c r="AA175" s="5"/>
      <c r="AB175" s="5"/>
      <c r="AC175" s="5"/>
      <c r="AD175" s="5"/>
      <c r="AE175" s="5"/>
      <c r="AF175" s="5"/>
      <c r="AG175" s="5"/>
      <c r="AH175" s="5"/>
      <c r="AI175" s="5"/>
      <c r="AJ175" s="5"/>
      <c r="AK175" s="5"/>
    </row>
    <row r="176" spans="1:37" ht="15" customHeight="1">
      <c r="A176" s="254" t="str">
        <f>IF(Download!B166="","",Download!B166)</f>
        <v>TR902</v>
      </c>
      <c r="B176" s="254" t="str">
        <f>IF(Download!C166="","",Download!C166)</f>
        <v>Science Revision Guide Workbook</v>
      </c>
      <c r="C176" s="45">
        <f>Download!D166</f>
        <v>0</v>
      </c>
      <c r="D176" s="42">
        <f>Download!H166</f>
        <v>0</v>
      </c>
      <c r="E176" s="252"/>
      <c r="F176" s="29" t="str">
        <f t="shared" si="24"/>
        <v>-</v>
      </c>
      <c r="G176" s="36"/>
      <c r="H176" s="36"/>
      <c r="I176" s="36"/>
      <c r="J176" s="47">
        <f t="shared" si="22"/>
        <v>0</v>
      </c>
      <c r="K176" s="37">
        <f t="shared" si="23"/>
        <v>0</v>
      </c>
      <c r="L176" s="43">
        <f>IF(ISERROR(VLOOKUP(A176,'Workings Prior Month'!A:N,10,FALSE))=TRUE,0,(VLOOKUP(A176,'Workings Prior Month'!A:N,10,FALSE)))</f>
        <v>0</v>
      </c>
      <c r="M176" s="43">
        <f>IF(ISERROR(VLOOKUP(A176,'Workings Prior Month'!A:N,11,FALSE))=TRUE,0,(VLOOKUP(A176,'Workings Prior Month'!A:N,11,FALSE)))</f>
        <v>0</v>
      </c>
      <c r="N176" s="49">
        <f t="shared" si="26"/>
        <v>0</v>
      </c>
      <c r="O176" s="137">
        <f>IF(ISERROR(VLOOKUP(A176,'Cross ref Tab'!A:C,3,FALSE)=TRUE),9500,VLOOKUP(A176,'Cross ref Tab'!A:C,3,FALSE))</f>
        <v>4000</v>
      </c>
      <c r="P176" s="137">
        <f>IF(A176="","",COUNTIF('Cross ref Tab'!$A$3:$A$311,A176))</f>
        <v>1</v>
      </c>
      <c r="Q176" s="182">
        <f t="shared" si="25"/>
      </c>
      <c r="R176" s="5">
        <f t="shared" si="27"/>
        <v>0</v>
      </c>
      <c r="S176" s="149">
        <f t="shared" si="28"/>
        <v>0</v>
      </c>
      <c r="T176" s="149">
        <f t="shared" si="29"/>
        <v>0</v>
      </c>
      <c r="U176" s="150">
        <f t="shared" si="30"/>
        <v>0</v>
      </c>
      <c r="V176" s="5" t="e">
        <f>VLOOKUP(A176,#REF!,7,FALSE)-C176</f>
        <v>#REF!</v>
      </c>
      <c r="W176" s="5" t="e">
        <f>SUMIF(#REF!,A176,#REF!)-C176</f>
        <v>#REF!</v>
      </c>
      <c r="X176" s="5"/>
      <c r="Y176" s="5"/>
      <c r="Z176" s="5"/>
      <c r="AA176" s="5"/>
      <c r="AB176" s="5"/>
      <c r="AC176" s="5"/>
      <c r="AD176" s="5"/>
      <c r="AE176" s="5"/>
      <c r="AF176" s="5"/>
      <c r="AG176" s="5"/>
      <c r="AH176" s="5"/>
      <c r="AI176" s="5"/>
      <c r="AJ176" s="5"/>
      <c r="AK176" s="5"/>
    </row>
    <row r="177" spans="1:37" ht="15" customHeight="1">
      <c r="A177" s="70" t="str">
        <f>IF(Download!B167="","",Download!B167)</f>
        <v>TR903</v>
      </c>
      <c r="B177" s="70" t="str">
        <f>IF(Download!C167="","",Download!C167)</f>
        <v>Ski Trip 2015</v>
      </c>
      <c r="C177" s="45">
        <f>Download!D167</f>
        <v>0</v>
      </c>
      <c r="D177" s="42">
        <f>Download!H167</f>
        <v>0</v>
      </c>
      <c r="E177" s="252"/>
      <c r="F177" s="29" t="str">
        <f t="shared" si="24"/>
        <v>-</v>
      </c>
      <c r="G177" s="36"/>
      <c r="H177" s="36"/>
      <c r="I177" s="253"/>
      <c r="J177" s="47">
        <f t="shared" si="22"/>
        <v>0</v>
      </c>
      <c r="K177" s="37">
        <f t="shared" si="23"/>
        <v>0</v>
      </c>
      <c r="L177" s="43">
        <f>IF(ISERROR(VLOOKUP(A177,'Workings Prior Month'!A:N,10,FALSE))=TRUE,0,(VLOOKUP(A177,'Workings Prior Month'!A:N,10,FALSE)))</f>
        <v>0</v>
      </c>
      <c r="M177" s="43">
        <f>IF(ISERROR(VLOOKUP(A177,'Workings Prior Month'!A:N,11,FALSE))=TRUE,0,(VLOOKUP(A177,'Workings Prior Month'!A:N,11,FALSE)))</f>
        <v>700</v>
      </c>
      <c r="N177" s="49">
        <f t="shared" si="26"/>
        <v>700</v>
      </c>
      <c r="O177" s="137">
        <f>IF(ISERROR(VLOOKUP(A177,'Cross ref Tab'!A:C,3,FALSE)=TRUE),9500,VLOOKUP(A177,'Cross ref Tab'!A:C,3,FALSE))</f>
        <v>4000</v>
      </c>
      <c r="P177" s="137">
        <f>IF(A177="","",COUNTIF('Cross ref Tab'!$A$3:$A$311,A177))</f>
        <v>1</v>
      </c>
      <c r="Q177" s="182">
        <f t="shared" si="25"/>
      </c>
      <c r="R177" s="5">
        <f t="shared" si="27"/>
        <v>0</v>
      </c>
      <c r="S177" s="149">
        <f t="shared" si="28"/>
        <v>0</v>
      </c>
      <c r="T177" s="149">
        <f t="shared" si="29"/>
        <v>0</v>
      </c>
      <c r="U177" s="150">
        <f t="shared" si="30"/>
        <v>-700</v>
      </c>
      <c r="V177" s="5" t="e">
        <f>VLOOKUP(A177,#REF!,7,FALSE)-C177</f>
        <v>#REF!</v>
      </c>
      <c r="W177" s="5" t="e">
        <f>SUMIF(#REF!,A177,#REF!)-C177</f>
        <v>#REF!</v>
      </c>
      <c r="X177" s="5"/>
      <c r="Y177" s="5"/>
      <c r="Z177" s="5"/>
      <c r="AA177" s="5"/>
      <c r="AB177" s="5"/>
      <c r="AC177" s="5"/>
      <c r="AD177" s="5"/>
      <c r="AE177" s="5"/>
      <c r="AF177" s="5"/>
      <c r="AG177" s="5"/>
      <c r="AH177" s="5"/>
      <c r="AI177" s="5"/>
      <c r="AJ177" s="5"/>
      <c r="AK177" s="5"/>
    </row>
    <row r="178" spans="1:37" ht="15" customHeight="1">
      <c r="A178" s="70" t="str">
        <f>IF(Download!B168="","",Download!B168)</f>
        <v>TR904</v>
      </c>
      <c r="B178" s="70" t="str">
        <f>IF(Download!C168="","",Download!C168)</f>
        <v>Billy Elliot - 28.1.16</v>
      </c>
      <c r="C178" s="45">
        <f>Download!D168</f>
        <v>0</v>
      </c>
      <c r="D178" s="42">
        <f>Download!H168</f>
        <v>205.34</v>
      </c>
      <c r="E178" s="252"/>
      <c r="F178" s="29" t="str">
        <f t="shared" si="24"/>
        <v>-</v>
      </c>
      <c r="G178" s="39"/>
      <c r="H178" s="39">
        <v>205.34</v>
      </c>
      <c r="I178" s="40"/>
      <c r="J178" s="47">
        <f t="shared" si="22"/>
        <v>0</v>
      </c>
      <c r="K178" s="37">
        <f t="shared" si="23"/>
        <v>0</v>
      </c>
      <c r="L178" s="43">
        <f>IF(ISERROR(VLOOKUP(A178,'Workings Prior Month'!A:N,10,FALSE))=TRUE,0,(VLOOKUP(A178,'Workings Prior Month'!A:N,10,FALSE)))</f>
        <v>0</v>
      </c>
      <c r="M178" s="43">
        <f>IF(ISERROR(VLOOKUP(A178,'Workings Prior Month'!A:N,11,FALSE))=TRUE,0,(VLOOKUP(A178,'Workings Prior Month'!A:N,11,FALSE)))</f>
        <v>0</v>
      </c>
      <c r="N178" s="49">
        <f t="shared" si="26"/>
        <v>0</v>
      </c>
      <c r="O178" s="137">
        <f>IF(ISERROR(VLOOKUP(A178,'Cross ref Tab'!A:C,3,FALSE)=TRUE),9500,VLOOKUP(A178,'Cross ref Tab'!A:C,3,FALSE))</f>
        <v>4000</v>
      </c>
      <c r="P178" s="137">
        <f>IF(A178="","",COUNTIF('Cross ref Tab'!$A$3:$A$311,A178))</f>
        <v>1</v>
      </c>
      <c r="Q178" s="182">
        <f t="shared" si="25"/>
      </c>
      <c r="R178" s="5">
        <f t="shared" si="27"/>
        <v>0</v>
      </c>
      <c r="S178" s="149">
        <f t="shared" si="28"/>
        <v>0</v>
      </c>
      <c r="T178" s="149">
        <f t="shared" si="29"/>
        <v>0</v>
      </c>
      <c r="U178" s="150">
        <f t="shared" si="30"/>
        <v>0</v>
      </c>
      <c r="V178" s="5" t="e">
        <f>VLOOKUP(A178,#REF!,7,FALSE)-C178</f>
        <v>#REF!</v>
      </c>
      <c r="W178" s="5" t="e">
        <f>SUMIF(#REF!,A178,#REF!)-C178</f>
        <v>#REF!</v>
      </c>
      <c r="X178" s="5"/>
      <c r="Y178" s="5"/>
      <c r="Z178" s="5"/>
      <c r="AA178" s="5"/>
      <c r="AB178" s="5"/>
      <c r="AC178" s="5"/>
      <c r="AD178" s="5"/>
      <c r="AE178" s="5"/>
      <c r="AF178" s="5"/>
      <c r="AG178" s="5"/>
      <c r="AH178" s="5"/>
      <c r="AI178" s="5"/>
      <c r="AJ178" s="5"/>
      <c r="AK178" s="5"/>
    </row>
    <row r="179" spans="1:37" ht="15" customHeight="1">
      <c r="A179" s="70" t="str">
        <f>IF(Download!B169="","",Download!B169)</f>
        <v>TR905</v>
      </c>
      <c r="B179" s="70" t="str">
        <f>IF(Download!C169="","",Download!C169)</f>
        <v>National Football Final - 6.5.15</v>
      </c>
      <c r="C179" s="45">
        <f>Download!D169</f>
        <v>0</v>
      </c>
      <c r="D179" s="42">
        <f>Download!H169</f>
        <v>0</v>
      </c>
      <c r="E179" s="252"/>
      <c r="F179" s="29" t="str">
        <f t="shared" si="24"/>
        <v>-</v>
      </c>
      <c r="G179" s="39"/>
      <c r="H179" s="39"/>
      <c r="I179" s="40"/>
      <c r="J179" s="47">
        <f t="shared" si="22"/>
        <v>0</v>
      </c>
      <c r="K179" s="37">
        <f t="shared" si="23"/>
        <v>0</v>
      </c>
      <c r="L179" s="43">
        <f>IF(ISERROR(VLOOKUP(A179,'Workings Prior Month'!A:N,10,FALSE))=TRUE,0,(VLOOKUP(A179,'Workings Prior Month'!A:N,10,FALSE)))</f>
        <v>0</v>
      </c>
      <c r="M179" s="43">
        <f>IF(ISERROR(VLOOKUP(A179,'Workings Prior Month'!A:N,11,FALSE))=TRUE,0,(VLOOKUP(A179,'Workings Prior Month'!A:N,11,FALSE)))</f>
        <v>0</v>
      </c>
      <c r="N179" s="49">
        <f t="shared" si="26"/>
        <v>0</v>
      </c>
      <c r="O179" s="137">
        <f>IF(ISERROR(VLOOKUP(A179,'Cross ref Tab'!A:C,3,FALSE)=TRUE),9500,VLOOKUP(A179,'Cross ref Tab'!A:C,3,FALSE))</f>
        <v>4000</v>
      </c>
      <c r="P179" s="137">
        <f>IF(A179="","",COUNTIF('Cross ref Tab'!$A$3:$A$311,A179))</f>
        <v>1</v>
      </c>
      <c r="Q179" s="182">
        <f t="shared" si="25"/>
      </c>
      <c r="R179" s="5">
        <f t="shared" si="27"/>
        <v>0</v>
      </c>
      <c r="S179" s="149">
        <f t="shared" si="28"/>
        <v>0</v>
      </c>
      <c r="T179" s="149">
        <f t="shared" si="29"/>
        <v>0</v>
      </c>
      <c r="U179" s="150">
        <f t="shared" si="30"/>
        <v>0</v>
      </c>
      <c r="V179" s="5" t="e">
        <f>VLOOKUP(A179,#REF!,7,FALSE)-C179</f>
        <v>#REF!</v>
      </c>
      <c r="W179" s="5" t="e">
        <f>SUMIF(#REF!,A179,#REF!)-C179</f>
        <v>#REF!</v>
      </c>
      <c r="X179" s="5"/>
      <c r="Y179" s="5"/>
      <c r="Z179" s="5"/>
      <c r="AA179" s="5"/>
      <c r="AB179" s="5"/>
      <c r="AC179" s="5"/>
      <c r="AD179" s="5"/>
      <c r="AE179" s="5"/>
      <c r="AF179" s="5"/>
      <c r="AG179" s="5"/>
      <c r="AH179" s="5"/>
      <c r="AI179" s="5"/>
      <c r="AJ179" s="5"/>
      <c r="AK179" s="5"/>
    </row>
    <row r="180" spans="1:37" ht="15" customHeight="1">
      <c r="A180" s="70" t="str">
        <f>IF(Download!B170="","",Download!B170)</f>
        <v>TR906</v>
      </c>
      <c r="B180" s="70" t="str">
        <f>IF(Download!C170="","",Download!C170)</f>
        <v>Science Textbooks</v>
      </c>
      <c r="C180" s="45">
        <f>Download!D170</f>
        <v>0</v>
      </c>
      <c r="D180" s="42">
        <f>Download!H170</f>
        <v>2620.79</v>
      </c>
      <c r="E180" s="252"/>
      <c r="F180" s="29" t="str">
        <f t="shared" si="24"/>
        <v>-</v>
      </c>
      <c r="G180" s="39"/>
      <c r="H180" s="39">
        <v>2620.79</v>
      </c>
      <c r="I180" s="40"/>
      <c r="J180" s="47">
        <f t="shared" si="22"/>
        <v>0</v>
      </c>
      <c r="K180" s="37">
        <f t="shared" si="23"/>
        <v>0</v>
      </c>
      <c r="L180" s="43">
        <f>IF(ISERROR(VLOOKUP(A180,'Workings Prior Month'!A:N,10,FALSE))=TRUE,0,(VLOOKUP(A180,'Workings Prior Month'!A:N,10,FALSE)))</f>
        <v>0</v>
      </c>
      <c r="M180" s="43">
        <f>IF(ISERROR(VLOOKUP(A180,'Workings Prior Month'!A:N,11,FALSE))=TRUE,0,(VLOOKUP(A180,'Workings Prior Month'!A:N,11,FALSE)))</f>
        <v>0</v>
      </c>
      <c r="N180" s="49">
        <f t="shared" si="26"/>
        <v>0</v>
      </c>
      <c r="O180" s="137">
        <f>IF(ISERROR(VLOOKUP(A180,'Cross ref Tab'!A:C,3,FALSE)=TRUE),9500,VLOOKUP(A180,'Cross ref Tab'!A:C,3,FALSE))</f>
        <v>4000</v>
      </c>
      <c r="P180" s="137">
        <f>IF(A180="","",COUNTIF('Cross ref Tab'!$A$3:$A$311,A180))</f>
        <v>1</v>
      </c>
      <c r="Q180" s="182">
        <f t="shared" si="25"/>
      </c>
      <c r="R180" s="5">
        <f t="shared" si="27"/>
        <v>0</v>
      </c>
      <c r="S180" s="149">
        <f t="shared" si="28"/>
        <v>0</v>
      </c>
      <c r="T180" s="149">
        <f t="shared" si="29"/>
        <v>0</v>
      </c>
      <c r="U180" s="150">
        <f t="shared" si="30"/>
        <v>0</v>
      </c>
      <c r="V180" s="5" t="e">
        <f>VLOOKUP(A180,#REF!,7,FALSE)-C180</f>
        <v>#REF!</v>
      </c>
      <c r="W180" s="5" t="e">
        <f>SUMIF(#REF!,A180,#REF!)-C180</f>
        <v>#REF!</v>
      </c>
      <c r="X180" s="5"/>
      <c r="Y180" s="5"/>
      <c r="Z180" s="5"/>
      <c r="AA180" s="5"/>
      <c r="AB180" s="5"/>
      <c r="AC180" s="5"/>
      <c r="AD180" s="5"/>
      <c r="AE180" s="5"/>
      <c r="AF180" s="5"/>
      <c r="AG180" s="5"/>
      <c r="AH180" s="5"/>
      <c r="AI180" s="5"/>
      <c r="AJ180" s="5"/>
      <c r="AK180" s="5"/>
    </row>
    <row r="181" spans="1:37" ht="15" customHeight="1">
      <c r="A181" s="70" t="str">
        <f>IF(Download!B171="","",Download!B171)</f>
        <v>TR907</v>
      </c>
      <c r="B181" s="70" t="str">
        <f>IF(Download!C171="","",Download!C171)</f>
        <v>San Francisco - October 2015</v>
      </c>
      <c r="C181" s="45">
        <f>Download!D171</f>
        <v>0</v>
      </c>
      <c r="D181" s="42">
        <f>Download!H171</f>
        <v>1658.82</v>
      </c>
      <c r="E181" s="252"/>
      <c r="F181" s="29" t="str">
        <f t="shared" si="24"/>
        <v>-</v>
      </c>
      <c r="G181" s="39"/>
      <c r="H181" s="39">
        <v>100</v>
      </c>
      <c r="I181" s="255"/>
      <c r="J181" s="47">
        <f t="shared" si="22"/>
        <v>1558.82</v>
      </c>
      <c r="K181" s="37">
        <f t="shared" si="23"/>
        <v>0</v>
      </c>
      <c r="L181" s="43">
        <f>IF(ISERROR(VLOOKUP(A181,'Workings Prior Month'!A:N,10,FALSE))=TRUE,0,(VLOOKUP(A181,'Workings Prior Month'!A:N,10,FALSE)))</f>
        <v>0</v>
      </c>
      <c r="M181" s="43">
        <f>IF(ISERROR(VLOOKUP(A181,'Workings Prior Month'!A:N,11,FALSE))=TRUE,0,(VLOOKUP(A181,'Workings Prior Month'!A:N,11,FALSE)))</f>
        <v>0</v>
      </c>
      <c r="N181" s="49">
        <f t="shared" si="26"/>
        <v>1558.82</v>
      </c>
      <c r="O181" s="137">
        <f>IF(ISERROR(VLOOKUP(A181,'Cross ref Tab'!A:C,3,FALSE)=TRUE),9500,VLOOKUP(A181,'Cross ref Tab'!A:C,3,FALSE))</f>
        <v>4000</v>
      </c>
      <c r="P181" s="137">
        <f>IF(A181="","",COUNTIF('Cross ref Tab'!$A$3:$A$311,A181))</f>
        <v>1</v>
      </c>
      <c r="Q181" s="182">
        <f t="shared" si="25"/>
      </c>
      <c r="R181" s="5">
        <f t="shared" si="27"/>
        <v>0</v>
      </c>
      <c r="S181" s="149">
        <f t="shared" si="28"/>
        <v>-1558.82</v>
      </c>
      <c r="T181" s="149">
        <f t="shared" si="29"/>
        <v>1558.82</v>
      </c>
      <c r="U181" s="150">
        <f t="shared" si="30"/>
        <v>0</v>
      </c>
      <c r="V181" s="5" t="e">
        <f>VLOOKUP(A181,#REF!,7,FALSE)-C181</f>
        <v>#REF!</v>
      </c>
      <c r="W181" s="5" t="e">
        <f>SUMIF(#REF!,A181,#REF!)-C181</f>
        <v>#REF!</v>
      </c>
      <c r="X181" s="5"/>
      <c r="Y181" s="5"/>
      <c r="Z181" s="5"/>
      <c r="AA181" s="5"/>
      <c r="AB181" s="5"/>
      <c r="AC181" s="5"/>
      <c r="AD181" s="5"/>
      <c r="AE181" s="5"/>
      <c r="AF181" s="5"/>
      <c r="AG181" s="5"/>
      <c r="AH181" s="5"/>
      <c r="AI181" s="5"/>
      <c r="AJ181" s="5"/>
      <c r="AK181" s="5"/>
    </row>
    <row r="182" spans="1:37" ht="15" customHeight="1">
      <c r="A182" s="70" t="str">
        <f>IF(Download!B172="","",Download!B172)</f>
        <v>TR908</v>
      </c>
      <c r="B182" s="70" t="str">
        <f>IF(Download!C172="","",Download!C172)</f>
        <v>Thro'  Deep Dark Woods-10.12.14</v>
      </c>
      <c r="C182" s="45">
        <f>Download!D172</f>
        <v>0</v>
      </c>
      <c r="D182" s="42">
        <f>Download!H172</f>
        <v>0</v>
      </c>
      <c r="E182" s="252"/>
      <c r="F182" s="29" t="str">
        <f t="shared" si="24"/>
        <v>-</v>
      </c>
      <c r="G182" s="39"/>
      <c r="H182" s="39"/>
      <c r="I182" s="40"/>
      <c r="J182" s="47">
        <f t="shared" si="22"/>
        <v>0</v>
      </c>
      <c r="K182" s="37">
        <f t="shared" si="23"/>
        <v>0</v>
      </c>
      <c r="L182" s="43">
        <f>IF(ISERROR(VLOOKUP(A182,'Workings Prior Month'!A:N,10,FALSE))=TRUE,0,(VLOOKUP(A182,'Workings Prior Month'!A:N,10,FALSE)))</f>
        <v>0</v>
      </c>
      <c r="M182" s="43">
        <f>IF(ISERROR(VLOOKUP(A182,'Workings Prior Month'!A:N,11,FALSE))=TRUE,0,(VLOOKUP(A182,'Workings Prior Month'!A:N,11,FALSE)))</f>
        <v>0</v>
      </c>
      <c r="N182" s="49">
        <f t="shared" si="26"/>
        <v>0</v>
      </c>
      <c r="O182" s="137">
        <f>IF(ISERROR(VLOOKUP(A182,'Cross ref Tab'!A:C,3,FALSE)=TRUE),9500,VLOOKUP(A182,'Cross ref Tab'!A:C,3,FALSE))</f>
        <v>4000</v>
      </c>
      <c r="P182" s="137">
        <f>IF(A182="","",COUNTIF('Cross ref Tab'!$A$3:$A$311,A182))</f>
        <v>1</v>
      </c>
      <c r="Q182" s="182">
        <f t="shared" si="25"/>
      </c>
      <c r="R182" s="5">
        <f t="shared" si="27"/>
        <v>0</v>
      </c>
      <c r="S182" s="149">
        <f t="shared" si="28"/>
        <v>0</v>
      </c>
      <c r="T182" s="149">
        <f t="shared" si="29"/>
        <v>0</v>
      </c>
      <c r="U182" s="150">
        <f t="shared" si="30"/>
        <v>0</v>
      </c>
      <c r="V182" s="5" t="e">
        <f>VLOOKUP(A182,#REF!,7,FALSE)-C182</f>
        <v>#REF!</v>
      </c>
      <c r="W182" s="5" t="e">
        <f>SUMIF(#REF!,A182,#REF!)-C182</f>
        <v>#REF!</v>
      </c>
      <c r="X182" s="5"/>
      <c r="Y182" s="5"/>
      <c r="Z182" s="5"/>
      <c r="AA182" s="5"/>
      <c r="AB182" s="5"/>
      <c r="AC182" s="5"/>
      <c r="AD182" s="5"/>
      <c r="AE182" s="5"/>
      <c r="AF182" s="5"/>
      <c r="AG182" s="5"/>
      <c r="AH182" s="5"/>
      <c r="AI182" s="5"/>
      <c r="AJ182" s="5"/>
      <c r="AK182" s="5"/>
    </row>
    <row r="183" spans="1:37" ht="15" customHeight="1">
      <c r="A183" s="70" t="str">
        <f>IF(Download!B173="","",Download!B173)</f>
        <v>TR909</v>
      </c>
      <c r="B183" s="70" t="str">
        <f>IF(Download!C173="","",Download!C173)</f>
        <v>New York - October 2016</v>
      </c>
      <c r="C183" s="45">
        <f>Download!D173</f>
        <v>0</v>
      </c>
      <c r="D183" s="42">
        <f>Download!H173</f>
        <v>2537.87</v>
      </c>
      <c r="E183" s="252"/>
      <c r="F183" s="29" t="str">
        <f t="shared" si="24"/>
        <v>-</v>
      </c>
      <c r="G183" s="39"/>
      <c r="H183" s="39">
        <v>2537.87</v>
      </c>
      <c r="I183" s="40"/>
      <c r="J183" s="47">
        <f t="shared" si="22"/>
        <v>0</v>
      </c>
      <c r="K183" s="37">
        <f t="shared" si="23"/>
        <v>0</v>
      </c>
      <c r="L183" s="43">
        <f>IF(ISERROR(VLOOKUP(A183,'Workings Prior Month'!A:N,10,FALSE))=TRUE,0,(VLOOKUP(A183,'Workings Prior Month'!A:N,10,FALSE)))</f>
        <v>0</v>
      </c>
      <c r="M183" s="43">
        <f>IF(ISERROR(VLOOKUP(A183,'Workings Prior Month'!A:N,11,FALSE))=TRUE,0,(VLOOKUP(A183,'Workings Prior Month'!A:N,11,FALSE)))</f>
        <v>0</v>
      </c>
      <c r="N183" s="49">
        <f t="shared" si="26"/>
        <v>0</v>
      </c>
      <c r="O183" s="137">
        <f>IF(ISERROR(VLOOKUP(A183,'Cross ref Tab'!A:C,3,FALSE)=TRUE),9500,VLOOKUP(A183,'Cross ref Tab'!A:C,3,FALSE))</f>
        <v>4000</v>
      </c>
      <c r="P183" s="137">
        <f>IF(A183="","",COUNTIF('Cross ref Tab'!$A$3:$A$311,A183))</f>
        <v>1</v>
      </c>
      <c r="Q183" s="182">
        <f t="shared" si="25"/>
      </c>
      <c r="R183" s="5">
        <f t="shared" si="27"/>
        <v>0</v>
      </c>
      <c r="S183" s="149">
        <f t="shared" si="28"/>
        <v>0</v>
      </c>
      <c r="T183" s="149">
        <f t="shared" si="29"/>
        <v>0</v>
      </c>
      <c r="U183" s="150">
        <f t="shared" si="30"/>
        <v>0</v>
      </c>
      <c r="V183" s="5" t="e">
        <f>VLOOKUP(A183,#REF!,7,FALSE)-C183</f>
        <v>#REF!</v>
      </c>
      <c r="W183" s="5" t="e">
        <f>SUMIF(#REF!,A183,#REF!)-C183</f>
        <v>#REF!</v>
      </c>
      <c r="X183" s="5"/>
      <c r="Y183" s="5"/>
      <c r="Z183" s="5"/>
      <c r="AA183" s="5"/>
      <c r="AB183" s="5"/>
      <c r="AC183" s="5"/>
      <c r="AD183" s="5"/>
      <c r="AE183" s="5"/>
      <c r="AF183" s="5"/>
      <c r="AG183" s="5"/>
      <c r="AH183" s="5"/>
      <c r="AI183" s="5"/>
      <c r="AJ183" s="5"/>
      <c r="AK183" s="5"/>
    </row>
    <row r="184" spans="1:37" ht="15" customHeight="1">
      <c r="A184" s="70" t="str">
        <f>IF(Download!B174="","",Download!B174)</f>
        <v>TR910</v>
      </c>
      <c r="B184" s="70" t="str">
        <f>IF(Download!C174="","",Download!C174)</f>
        <v>Essex Record Office-04.12.15</v>
      </c>
      <c r="C184" s="45">
        <f>Download!D174</f>
        <v>0</v>
      </c>
      <c r="D184" s="42">
        <f>Download!H174</f>
        <v>0</v>
      </c>
      <c r="E184" s="252"/>
      <c r="F184" s="29" t="str">
        <f t="shared" si="24"/>
        <v>-</v>
      </c>
      <c r="G184" s="39"/>
      <c r="H184" s="39"/>
      <c r="I184" s="255"/>
      <c r="J184" s="47">
        <f t="shared" si="22"/>
        <v>0</v>
      </c>
      <c r="K184" s="37">
        <f t="shared" si="23"/>
        <v>0</v>
      </c>
      <c r="L184" s="43">
        <f>IF(ISERROR(VLOOKUP(A184,'Workings Prior Month'!A:N,10,FALSE))=TRUE,0,(VLOOKUP(A184,'Workings Prior Month'!A:N,10,FALSE)))</f>
        <v>0</v>
      </c>
      <c r="M184" s="43">
        <f>IF(ISERROR(VLOOKUP(A184,'Workings Prior Month'!A:N,11,FALSE))=TRUE,0,(VLOOKUP(A184,'Workings Prior Month'!A:N,11,FALSE)))</f>
        <v>0</v>
      </c>
      <c r="N184" s="49">
        <f t="shared" si="26"/>
        <v>0</v>
      </c>
      <c r="O184" s="137">
        <f>IF(ISERROR(VLOOKUP(A184,'Cross ref Tab'!A:C,3,FALSE)=TRUE),9500,VLOOKUP(A184,'Cross ref Tab'!A:C,3,FALSE))</f>
        <v>4000</v>
      </c>
      <c r="P184" s="137">
        <f>IF(A184="","",COUNTIF('Cross ref Tab'!$A$3:$A$311,A184))</f>
        <v>1</v>
      </c>
      <c r="Q184" s="182">
        <f t="shared" si="25"/>
      </c>
      <c r="R184" s="5">
        <f t="shared" si="27"/>
        <v>0</v>
      </c>
      <c r="S184" s="149">
        <f t="shared" si="28"/>
        <v>0</v>
      </c>
      <c r="T184" s="149">
        <f t="shared" si="29"/>
        <v>0</v>
      </c>
      <c r="U184" s="150">
        <f t="shared" si="30"/>
        <v>0</v>
      </c>
      <c r="V184" s="5" t="e">
        <f>VLOOKUP(A184,#REF!,7,FALSE)-C184</f>
        <v>#REF!</v>
      </c>
      <c r="W184" s="5" t="e">
        <f>SUMIF(#REF!,A184,#REF!)-C184</f>
        <v>#REF!</v>
      </c>
      <c r="X184" s="5"/>
      <c r="Y184" s="5"/>
      <c r="Z184" s="5"/>
      <c r="AA184" s="5"/>
      <c r="AB184" s="5"/>
      <c r="AC184" s="5"/>
      <c r="AD184" s="5"/>
      <c r="AE184" s="5"/>
      <c r="AF184" s="5"/>
      <c r="AG184" s="5"/>
      <c r="AH184" s="5"/>
      <c r="AI184" s="5"/>
      <c r="AJ184" s="5"/>
      <c r="AK184" s="5"/>
    </row>
    <row r="185" spans="1:37" ht="15" customHeight="1">
      <c r="A185" s="70" t="str">
        <f>IF(Download!B175="","",Download!B175)</f>
        <v>TR911</v>
      </c>
      <c r="B185" s="70" t="str">
        <f>IF(Download!C175="","",Download!C175)</f>
        <v>Stubbers -  16.03.15</v>
      </c>
      <c r="C185" s="45">
        <f>Download!D175</f>
        <v>0</v>
      </c>
      <c r="D185" s="42">
        <f>Download!H175</f>
        <v>0</v>
      </c>
      <c r="E185" s="252"/>
      <c r="F185" s="29" t="str">
        <f t="shared" si="24"/>
        <v>-</v>
      </c>
      <c r="G185" s="39"/>
      <c r="H185" s="39"/>
      <c r="I185" s="255"/>
      <c r="J185" s="47">
        <f t="shared" si="22"/>
        <v>0</v>
      </c>
      <c r="K185" s="37">
        <f t="shared" si="23"/>
        <v>0</v>
      </c>
      <c r="L185" s="43">
        <f>IF(ISERROR(VLOOKUP(A185,'Workings Prior Month'!A:N,10,FALSE))=TRUE,0,(VLOOKUP(A185,'Workings Prior Month'!A:N,10,FALSE)))</f>
        <v>0</v>
      </c>
      <c r="M185" s="43">
        <f>IF(ISERROR(VLOOKUP(A185,'Workings Prior Month'!A:N,11,FALSE))=TRUE,0,(VLOOKUP(A185,'Workings Prior Month'!A:N,11,FALSE)))</f>
        <v>0</v>
      </c>
      <c r="N185" s="49">
        <f t="shared" si="26"/>
        <v>0</v>
      </c>
      <c r="O185" s="137">
        <f>IF(ISERROR(VLOOKUP(A185,'Cross ref Tab'!A:C,3,FALSE)=TRUE),9500,VLOOKUP(A185,'Cross ref Tab'!A:C,3,FALSE))</f>
        <v>4000</v>
      </c>
      <c r="P185" s="137">
        <f>IF(A185="","",COUNTIF('Cross ref Tab'!$A$3:$A$311,A185))</f>
        <v>1</v>
      </c>
      <c r="Q185" s="182">
        <f t="shared" si="25"/>
      </c>
      <c r="R185" s="5">
        <f t="shared" si="27"/>
        <v>0</v>
      </c>
      <c r="S185" s="149">
        <f t="shared" si="28"/>
        <v>0</v>
      </c>
      <c r="T185" s="149">
        <f t="shared" si="29"/>
        <v>0</v>
      </c>
      <c r="U185" s="150">
        <f t="shared" si="30"/>
        <v>0</v>
      </c>
      <c r="V185" s="5" t="e">
        <f>VLOOKUP(A185,#REF!,7,FALSE)-C185</f>
        <v>#REF!</v>
      </c>
      <c r="W185" s="5" t="e">
        <f>SUMIF(#REF!,A185,#REF!)-C185</f>
        <v>#REF!</v>
      </c>
      <c r="X185" s="5"/>
      <c r="Y185" s="5"/>
      <c r="Z185" s="5"/>
      <c r="AA185" s="5"/>
      <c r="AB185" s="5"/>
      <c r="AC185" s="5"/>
      <c r="AD185" s="5"/>
      <c r="AE185" s="5"/>
      <c r="AF185" s="5"/>
      <c r="AG185" s="5"/>
      <c r="AH185" s="5"/>
      <c r="AI185" s="5"/>
      <c r="AJ185" s="5"/>
      <c r="AK185" s="5"/>
    </row>
    <row r="186" spans="1:37" ht="15" customHeight="1">
      <c r="A186" s="70" t="str">
        <f>IF(Download!B176="","",Download!B176)</f>
        <v>TR912</v>
      </c>
      <c r="B186" s="70" t="str">
        <f>IF(Download!C176="","",Download!C176)</f>
        <v>Admin Fee</v>
      </c>
      <c r="C186" s="45">
        <f>Download!D176</f>
        <v>0</v>
      </c>
      <c r="D186" s="42">
        <f>Download!H176</f>
        <v>92.6</v>
      </c>
      <c r="E186" s="252"/>
      <c r="F186" s="29" t="str">
        <f t="shared" si="24"/>
        <v>-</v>
      </c>
      <c r="G186" s="39"/>
      <c r="H186" s="39"/>
      <c r="I186" s="255"/>
      <c r="J186" s="47">
        <f t="shared" si="22"/>
        <v>92.6</v>
      </c>
      <c r="K186" s="37">
        <f t="shared" si="23"/>
        <v>0</v>
      </c>
      <c r="L186" s="43">
        <f>IF(ISERROR(VLOOKUP(A186,'Workings Prior Month'!A:N,10,FALSE))=TRUE,0,(VLOOKUP(A186,'Workings Prior Month'!A:N,10,FALSE)))</f>
        <v>17.58</v>
      </c>
      <c r="M186" s="43">
        <f>IF(ISERROR(VLOOKUP(A186,'Workings Prior Month'!A:N,11,FALSE))=TRUE,0,(VLOOKUP(A186,'Workings Prior Month'!A:N,11,FALSE)))</f>
        <v>0</v>
      </c>
      <c r="N186" s="49">
        <f t="shared" si="26"/>
        <v>75.02</v>
      </c>
      <c r="O186" s="137">
        <f>IF(ISERROR(VLOOKUP(A186,'Cross ref Tab'!A:C,3,FALSE)=TRUE),9500,VLOOKUP(A186,'Cross ref Tab'!A:C,3,FALSE))</f>
        <v>4000</v>
      </c>
      <c r="P186" s="137">
        <f>IF(A186="","",COUNTIF('Cross ref Tab'!$A$3:$A$311,A186))</f>
        <v>1</v>
      </c>
      <c r="Q186" s="182">
        <f t="shared" si="25"/>
      </c>
      <c r="R186" s="5">
        <f t="shared" si="27"/>
        <v>0</v>
      </c>
      <c r="S186" s="149">
        <f t="shared" si="28"/>
        <v>-92.6</v>
      </c>
      <c r="T186" s="149">
        <f t="shared" si="29"/>
        <v>92.6</v>
      </c>
      <c r="U186" s="150">
        <f t="shared" si="30"/>
        <v>17.58</v>
      </c>
      <c r="V186" s="5" t="e">
        <f>VLOOKUP(A186,#REF!,7,FALSE)-C186</f>
        <v>#REF!</v>
      </c>
      <c r="W186" s="5" t="e">
        <f>SUMIF(#REF!,A186,#REF!)-C186</f>
        <v>#REF!</v>
      </c>
      <c r="X186" s="5"/>
      <c r="Y186" s="5"/>
      <c r="Z186" s="5"/>
      <c r="AA186" s="5"/>
      <c r="AB186" s="5"/>
      <c r="AC186" s="5"/>
      <c r="AD186" s="5"/>
      <c r="AE186" s="5"/>
      <c r="AF186" s="5"/>
      <c r="AG186" s="5"/>
      <c r="AH186" s="5"/>
      <c r="AI186" s="5"/>
      <c r="AJ186" s="5"/>
      <c r="AK186" s="5"/>
    </row>
    <row r="187" spans="1:37" ht="15" customHeight="1">
      <c r="A187" s="70" t="str">
        <f>IF(Download!B177="","",Download!B177)</f>
        <v>TR913</v>
      </c>
      <c r="B187" s="70" t="str">
        <f>IF(Download!C177="","",Download!C177)</f>
        <v>Trip Contingency</v>
      </c>
      <c r="C187" s="45">
        <f>Download!D177</f>
        <v>0</v>
      </c>
      <c r="D187" s="42">
        <f>Download!H177</f>
        <v>64.58</v>
      </c>
      <c r="E187" s="252"/>
      <c r="F187" s="29" t="str">
        <f t="shared" si="24"/>
        <v>-</v>
      </c>
      <c r="G187" s="39"/>
      <c r="H187" s="39"/>
      <c r="I187" s="40"/>
      <c r="J187" s="47">
        <f t="shared" si="22"/>
        <v>64.58</v>
      </c>
      <c r="K187" s="37">
        <f t="shared" si="23"/>
        <v>0</v>
      </c>
      <c r="L187" s="43">
        <f>IF(ISERROR(VLOOKUP(A187,'Workings Prior Month'!A:N,10,FALSE))=TRUE,0,(VLOOKUP(A187,'Workings Prior Month'!A:N,10,FALSE)))</f>
        <v>11.35</v>
      </c>
      <c r="M187" s="43">
        <f>IF(ISERROR(VLOOKUP(A187,'Workings Prior Month'!A:N,11,FALSE))=TRUE,0,(VLOOKUP(A187,'Workings Prior Month'!A:N,11,FALSE)))</f>
        <v>0</v>
      </c>
      <c r="N187" s="49">
        <f t="shared" si="26"/>
        <v>53.23</v>
      </c>
      <c r="O187" s="137">
        <f>IF(ISERROR(VLOOKUP(A187,'Cross ref Tab'!A:C,3,FALSE)=TRUE),9500,VLOOKUP(A187,'Cross ref Tab'!A:C,3,FALSE))</f>
        <v>4000</v>
      </c>
      <c r="P187" s="137">
        <f>IF(A187="","",COUNTIF('Cross ref Tab'!$A$3:$A$311,A187))</f>
        <v>1</v>
      </c>
      <c r="Q187" s="182">
        <f t="shared" si="25"/>
      </c>
      <c r="R187" s="5">
        <f t="shared" si="27"/>
        <v>0</v>
      </c>
      <c r="S187" s="149">
        <f t="shared" si="28"/>
        <v>-64.58</v>
      </c>
      <c r="T187" s="149">
        <f t="shared" si="29"/>
        <v>64.58</v>
      </c>
      <c r="U187" s="150">
        <f t="shared" si="30"/>
        <v>11.350000000000001</v>
      </c>
      <c r="V187" s="5" t="e">
        <f>VLOOKUP(A187,#REF!,7,FALSE)-C187</f>
        <v>#REF!</v>
      </c>
      <c r="W187" s="5" t="e">
        <f>SUMIF(#REF!,A187,#REF!)-C187</f>
        <v>#REF!</v>
      </c>
      <c r="X187" s="5"/>
      <c r="Y187" s="5"/>
      <c r="Z187" s="5"/>
      <c r="AA187" s="5"/>
      <c r="AB187" s="5"/>
      <c r="AC187" s="5"/>
      <c r="AD187" s="5"/>
      <c r="AE187" s="5"/>
      <c r="AF187" s="5"/>
      <c r="AG187" s="5"/>
      <c r="AH187" s="5"/>
      <c r="AI187" s="5"/>
      <c r="AJ187" s="5"/>
      <c r="AK187" s="5"/>
    </row>
    <row r="188" spans="1:37" ht="15" customHeight="1">
      <c r="A188" s="70" t="str">
        <f>IF(Download!B178="","",Download!B178)</f>
        <v>TR914</v>
      </c>
      <c r="B188" s="70" t="str">
        <f>IF(Download!C178="","",Download!C178)</f>
        <v>Trip Balances/Hardship Fund</v>
      </c>
      <c r="C188" s="45">
        <f>Download!D178</f>
        <v>0</v>
      </c>
      <c r="D188" s="42">
        <f>Download!H178</f>
        <v>15.69</v>
      </c>
      <c r="E188" s="252"/>
      <c r="F188" s="29" t="str">
        <f t="shared" si="24"/>
        <v>-</v>
      </c>
      <c r="G188" s="39"/>
      <c r="H188" s="39"/>
      <c r="I188" s="40"/>
      <c r="J188" s="47">
        <f t="shared" si="22"/>
        <v>15.69</v>
      </c>
      <c r="K188" s="37">
        <f t="shared" si="23"/>
        <v>0</v>
      </c>
      <c r="L188" s="43">
        <f>IF(ISERROR(VLOOKUP(A188,'Workings Prior Month'!A:N,10,FALSE))=TRUE,0,(VLOOKUP(A188,'Workings Prior Month'!A:N,10,FALSE)))</f>
        <v>10.67</v>
      </c>
      <c r="M188" s="43">
        <f>IF(ISERROR(VLOOKUP(A188,'Workings Prior Month'!A:N,11,FALSE))=TRUE,0,(VLOOKUP(A188,'Workings Prior Month'!A:N,11,FALSE)))</f>
        <v>0</v>
      </c>
      <c r="N188" s="49">
        <f t="shared" si="26"/>
        <v>5.02</v>
      </c>
      <c r="O188" s="137">
        <f>IF(ISERROR(VLOOKUP(A188,'Cross ref Tab'!A:C,3,FALSE)=TRUE),9500,VLOOKUP(A188,'Cross ref Tab'!A:C,3,FALSE))</f>
        <v>4000</v>
      </c>
      <c r="P188" s="137">
        <f>IF(A188="","",COUNTIF('Cross ref Tab'!$A$3:$A$311,A188))</f>
        <v>1</v>
      </c>
      <c r="Q188" s="182">
        <f t="shared" si="25"/>
      </c>
      <c r="R188" s="5">
        <f t="shared" si="27"/>
        <v>0</v>
      </c>
      <c r="S188" s="149">
        <f t="shared" si="28"/>
        <v>-15.69</v>
      </c>
      <c r="T188" s="149">
        <f t="shared" si="29"/>
        <v>15.69</v>
      </c>
      <c r="U188" s="150">
        <f t="shared" si="30"/>
        <v>10.67</v>
      </c>
      <c r="V188" s="5" t="e">
        <f>VLOOKUP(A188,#REF!,7,FALSE)-C188</f>
        <v>#REF!</v>
      </c>
      <c r="W188" s="5" t="e">
        <f>SUMIF(#REF!,A188,#REF!)-C188</f>
        <v>#REF!</v>
      </c>
      <c r="X188" s="5"/>
      <c r="Y188" s="5"/>
      <c r="Z188" s="5"/>
      <c r="AA188" s="5"/>
      <c r="AB188" s="5"/>
      <c r="AC188" s="5"/>
      <c r="AD188" s="5"/>
      <c r="AE188" s="5"/>
      <c r="AF188" s="5"/>
      <c r="AG188" s="5"/>
      <c r="AH188" s="5"/>
      <c r="AI188" s="5"/>
      <c r="AJ188" s="5"/>
      <c r="AK188" s="5"/>
    </row>
    <row r="189" spans="1:37" ht="15" customHeight="1">
      <c r="A189" s="70" t="str">
        <f>IF(Download!B179="","",Download!B179)</f>
        <v>TR915</v>
      </c>
      <c r="B189" s="70" t="str">
        <f>IF(Download!C179="","",Download!C179)</f>
        <v>Ski Trip 2016</v>
      </c>
      <c r="C189" s="45">
        <f>Download!D179</f>
        <v>0</v>
      </c>
      <c r="D189" s="42">
        <f>Download!H179</f>
        <v>2856.33</v>
      </c>
      <c r="E189" s="252"/>
      <c r="F189" s="29" t="str">
        <f t="shared" si="24"/>
        <v>-</v>
      </c>
      <c r="G189" s="39"/>
      <c r="H189" s="39">
        <v>2856.33</v>
      </c>
      <c r="I189" s="255"/>
      <c r="J189" s="47">
        <f t="shared" si="22"/>
        <v>0</v>
      </c>
      <c r="K189" s="37">
        <f t="shared" si="23"/>
        <v>0</v>
      </c>
      <c r="L189" s="43">
        <f>IF(ISERROR(VLOOKUP(A189,'Workings Prior Month'!A:N,10,FALSE))=TRUE,0,(VLOOKUP(A189,'Workings Prior Month'!A:N,10,FALSE)))</f>
        <v>0</v>
      </c>
      <c r="M189" s="43">
        <f>IF(ISERROR(VLOOKUP(A189,'Workings Prior Month'!A:N,11,FALSE))=TRUE,0,(VLOOKUP(A189,'Workings Prior Month'!A:N,11,FALSE)))</f>
        <v>0</v>
      </c>
      <c r="N189" s="49">
        <f t="shared" si="26"/>
        <v>0</v>
      </c>
      <c r="O189" s="137">
        <f>IF(ISERROR(VLOOKUP(A189,'Cross ref Tab'!A:C,3,FALSE)=TRUE),9500,VLOOKUP(A189,'Cross ref Tab'!A:C,3,FALSE))</f>
        <v>4000</v>
      </c>
      <c r="P189" s="137">
        <f>IF(A189="","",COUNTIF('Cross ref Tab'!$A$3:$A$311,A189))</f>
        <v>1</v>
      </c>
      <c r="Q189" s="182">
        <f t="shared" si="25"/>
      </c>
      <c r="R189" s="5">
        <f t="shared" si="27"/>
        <v>0</v>
      </c>
      <c r="S189" s="149">
        <f t="shared" si="28"/>
        <v>0</v>
      </c>
      <c r="T189" s="149">
        <f t="shared" si="29"/>
        <v>0</v>
      </c>
      <c r="U189" s="150">
        <f t="shared" si="30"/>
        <v>0</v>
      </c>
      <c r="V189" s="5" t="e">
        <f>VLOOKUP(A189,#REF!,7,FALSE)-C189</f>
        <v>#REF!</v>
      </c>
      <c r="W189" s="5" t="e">
        <f>SUMIF(#REF!,A189,#REF!)-C189</f>
        <v>#REF!</v>
      </c>
      <c r="X189" s="5"/>
      <c r="Y189" s="5"/>
      <c r="Z189" s="5"/>
      <c r="AA189" s="5"/>
      <c r="AB189" s="5"/>
      <c r="AC189" s="5"/>
      <c r="AD189" s="5"/>
      <c r="AE189" s="5"/>
      <c r="AF189" s="5"/>
      <c r="AG189" s="5"/>
      <c r="AH189" s="5"/>
      <c r="AI189" s="5"/>
      <c r="AJ189" s="5"/>
      <c r="AK189" s="5"/>
    </row>
    <row r="190" spans="1:37" ht="15" customHeight="1">
      <c r="A190" s="70" t="str">
        <f>IF(Download!B180="","",Download!B180)</f>
        <v>TR916</v>
      </c>
      <c r="B190" s="70" t="str">
        <f>IF(Download!C180="","",Download!C180)</f>
        <v>Summer Camp</v>
      </c>
      <c r="C190" s="45">
        <f>Download!D180</f>
        <v>1708</v>
      </c>
      <c r="D190" s="42">
        <f>Download!H180</f>
        <v>1801.24</v>
      </c>
      <c r="E190" s="252"/>
      <c r="F190" s="29">
        <f t="shared" si="24"/>
        <v>-0.054590163934426235</v>
      </c>
      <c r="G190" s="39"/>
      <c r="H190" s="39">
        <v>1801.24</v>
      </c>
      <c r="I190" s="255"/>
      <c r="J190" s="47">
        <f t="shared" si="22"/>
        <v>0</v>
      </c>
      <c r="K190" s="37">
        <f t="shared" si="23"/>
        <v>0</v>
      </c>
      <c r="L190" s="43">
        <f>IF(ISERROR(VLOOKUP(A190,'Workings Prior Month'!A:N,10,FALSE))=TRUE,0,(VLOOKUP(A190,'Workings Prior Month'!A:N,10,FALSE)))</f>
        <v>0</v>
      </c>
      <c r="M190" s="43">
        <f>IF(ISERROR(VLOOKUP(A190,'Workings Prior Month'!A:N,11,FALSE))=TRUE,0,(VLOOKUP(A190,'Workings Prior Month'!A:N,11,FALSE)))</f>
        <v>0</v>
      </c>
      <c r="N190" s="49">
        <f t="shared" si="26"/>
        <v>0</v>
      </c>
      <c r="O190" s="137">
        <f>IF(ISERROR(VLOOKUP(A190,'Cross ref Tab'!A:C,3,FALSE)=TRUE),9500,VLOOKUP(A190,'Cross ref Tab'!A:C,3,FALSE))</f>
        <v>4000</v>
      </c>
      <c r="P190" s="137">
        <f>IF(A190="","",COUNTIF('Cross ref Tab'!$A$3:$A$311,A190))</f>
        <v>1</v>
      </c>
      <c r="Q190" s="182">
        <f t="shared" si="25"/>
      </c>
      <c r="R190" s="5">
        <f t="shared" si="27"/>
        <v>1708</v>
      </c>
      <c r="S190" s="149">
        <f t="shared" si="28"/>
        <v>1708</v>
      </c>
      <c r="T190" s="149">
        <f t="shared" si="29"/>
        <v>0</v>
      </c>
      <c r="U190" s="150">
        <f t="shared" si="30"/>
        <v>0</v>
      </c>
      <c r="V190" s="5" t="e">
        <f>VLOOKUP(A190,#REF!,7,FALSE)-C190</f>
        <v>#REF!</v>
      </c>
      <c r="W190" s="5" t="e">
        <f>SUMIF(#REF!,A190,#REF!)-C190</f>
        <v>#REF!</v>
      </c>
      <c r="X190" s="5"/>
      <c r="Y190" s="5"/>
      <c r="Z190" s="5"/>
      <c r="AA190" s="5"/>
      <c r="AB190" s="5"/>
      <c r="AC190" s="5"/>
      <c r="AD190" s="5"/>
      <c r="AE190" s="5"/>
      <c r="AF190" s="5"/>
      <c r="AG190" s="5"/>
      <c r="AH190" s="5"/>
      <c r="AI190" s="5"/>
      <c r="AJ190" s="5"/>
      <c r="AK190" s="5"/>
    </row>
    <row r="191" spans="1:37" ht="15" customHeight="1">
      <c r="A191" s="70" t="str">
        <f>IF(Download!B181="","",Download!B181)</f>
        <v>TR917</v>
      </c>
      <c r="B191" s="70" t="str">
        <f>IF(Download!C181="","",Download!C181)</f>
        <v>Chinese Visitor -Autumn 2015</v>
      </c>
      <c r="C191" s="45">
        <f>Download!D181</f>
        <v>0</v>
      </c>
      <c r="D191" s="42">
        <f>Download!H181</f>
        <v>1097.59</v>
      </c>
      <c r="E191" s="252"/>
      <c r="F191" s="29" t="str">
        <f t="shared" si="24"/>
        <v>-</v>
      </c>
      <c r="G191" s="39"/>
      <c r="H191" s="39">
        <v>1097.59</v>
      </c>
      <c r="I191" s="40"/>
      <c r="J191" s="47">
        <f t="shared" si="22"/>
        <v>0</v>
      </c>
      <c r="K191" s="37">
        <f t="shared" si="23"/>
        <v>0</v>
      </c>
      <c r="L191" s="43">
        <f>IF(ISERROR(VLOOKUP(A191,'Workings Prior Month'!A:N,10,FALSE))=TRUE,0,(VLOOKUP(A191,'Workings Prior Month'!A:N,10,FALSE)))</f>
        <v>0</v>
      </c>
      <c r="M191" s="43">
        <f>IF(ISERROR(VLOOKUP(A191,'Workings Prior Month'!A:N,11,FALSE))=TRUE,0,(VLOOKUP(A191,'Workings Prior Month'!A:N,11,FALSE)))</f>
        <v>0</v>
      </c>
      <c r="N191" s="49">
        <f t="shared" si="26"/>
        <v>0</v>
      </c>
      <c r="O191" s="137">
        <f>IF(ISERROR(VLOOKUP(A191,'Cross ref Tab'!A:C,3,FALSE)=TRUE),9500,VLOOKUP(A191,'Cross ref Tab'!A:C,3,FALSE))</f>
        <v>4000</v>
      </c>
      <c r="P191" s="137">
        <f>IF(A191="","",COUNTIF('Cross ref Tab'!$A$3:$A$311,A191))</f>
        <v>1</v>
      </c>
      <c r="Q191" s="182">
        <f t="shared" si="25"/>
      </c>
      <c r="R191" s="5">
        <f t="shared" si="27"/>
        <v>0</v>
      </c>
      <c r="S191" s="149">
        <f t="shared" si="28"/>
        <v>0</v>
      </c>
      <c r="T191" s="149">
        <f t="shared" si="29"/>
        <v>0</v>
      </c>
      <c r="U191" s="150">
        <f t="shared" si="30"/>
        <v>0</v>
      </c>
      <c r="V191" s="5" t="e">
        <f>VLOOKUP(A191,#REF!,7,FALSE)-C191</f>
        <v>#REF!</v>
      </c>
      <c r="W191" s="5" t="e">
        <f>SUMIF(#REF!,A191,#REF!)-C191</f>
        <v>#REF!</v>
      </c>
      <c r="X191" s="5"/>
      <c r="Y191" s="5"/>
      <c r="Z191" s="5"/>
      <c r="AA191" s="5"/>
      <c r="AB191" s="5"/>
      <c r="AC191" s="5"/>
      <c r="AD191" s="5"/>
      <c r="AE191" s="5"/>
      <c r="AF191" s="5"/>
      <c r="AG191" s="5"/>
      <c r="AH191" s="5"/>
      <c r="AI191" s="5"/>
      <c r="AJ191" s="5"/>
      <c r="AK191" s="5"/>
    </row>
    <row r="192" spans="1:37" ht="15" customHeight="1">
      <c r="A192" s="70" t="str">
        <f>IF(Download!B182="","",Download!B182)</f>
        <v>TR918</v>
      </c>
      <c r="B192" s="70" t="str">
        <f>IF(Download!C182="","",Download!C182)</f>
        <v>Cape Town Tour - Feb.'15</v>
      </c>
      <c r="C192" s="45">
        <f>Download!D182</f>
        <v>0</v>
      </c>
      <c r="D192" s="42">
        <f>Download!H182</f>
        <v>0</v>
      </c>
      <c r="E192" s="252"/>
      <c r="F192" s="29" t="str">
        <f t="shared" si="24"/>
        <v>-</v>
      </c>
      <c r="G192" s="39"/>
      <c r="H192" s="39"/>
      <c r="I192" s="40"/>
      <c r="J192" s="47">
        <f t="shared" si="22"/>
        <v>0</v>
      </c>
      <c r="K192" s="37">
        <f t="shared" si="23"/>
        <v>0</v>
      </c>
      <c r="L192" s="43">
        <f>IF(ISERROR(VLOOKUP(A192,'Workings Prior Month'!A:N,10,FALSE))=TRUE,0,(VLOOKUP(A192,'Workings Prior Month'!A:N,10,FALSE)))</f>
        <v>0</v>
      </c>
      <c r="M192" s="43">
        <f>IF(ISERROR(VLOOKUP(A192,'Workings Prior Month'!A:N,11,FALSE))=TRUE,0,(VLOOKUP(A192,'Workings Prior Month'!A:N,11,FALSE)))</f>
        <v>0</v>
      </c>
      <c r="N192" s="49">
        <f t="shared" si="26"/>
        <v>0</v>
      </c>
      <c r="O192" s="137">
        <f>IF(ISERROR(VLOOKUP(A192,'Cross ref Tab'!A:C,3,FALSE)=TRUE),9500,VLOOKUP(A192,'Cross ref Tab'!A:C,3,FALSE))</f>
        <v>4000</v>
      </c>
      <c r="P192" s="137">
        <f>IF(A192="","",COUNTIF('Cross ref Tab'!$A$3:$A$311,A192))</f>
        <v>1</v>
      </c>
      <c r="Q192" s="182">
        <f t="shared" si="25"/>
      </c>
      <c r="R192" s="5">
        <f t="shared" si="27"/>
        <v>0</v>
      </c>
      <c r="S192" s="149">
        <f t="shared" si="28"/>
        <v>0</v>
      </c>
      <c r="T192" s="149">
        <f t="shared" si="29"/>
        <v>0</v>
      </c>
      <c r="U192" s="150">
        <f t="shared" si="30"/>
        <v>0</v>
      </c>
      <c r="V192" s="5" t="e">
        <f>VLOOKUP(A192,#REF!,7,FALSE)-C192</f>
        <v>#REF!</v>
      </c>
      <c r="W192" s="5" t="e">
        <f>SUMIF(#REF!,A192,#REF!)-C192</f>
        <v>#REF!</v>
      </c>
      <c r="X192" s="5"/>
      <c r="Y192" s="5"/>
      <c r="Z192" s="5"/>
      <c r="AA192" s="5"/>
      <c r="AB192" s="5"/>
      <c r="AC192" s="5"/>
      <c r="AD192" s="5"/>
      <c r="AE192" s="5"/>
      <c r="AF192" s="5"/>
      <c r="AG192" s="5"/>
      <c r="AH192" s="5"/>
      <c r="AI192" s="5"/>
      <c r="AJ192" s="5"/>
      <c r="AK192" s="5"/>
    </row>
    <row r="193" spans="1:37" ht="15" customHeight="1">
      <c r="A193" s="70" t="str">
        <f>IF(Download!B183="","",Download!B183)</f>
        <v>TR919</v>
      </c>
      <c r="B193" s="70" t="str">
        <f>IF(Download!C183="","",Download!C183)</f>
        <v>Lake Garda Music Tour 2016</v>
      </c>
      <c r="C193" s="45">
        <f>Download!D183</f>
        <v>0</v>
      </c>
      <c r="D193" s="42">
        <f>Download!H183</f>
        <v>-13607.64</v>
      </c>
      <c r="E193" s="252"/>
      <c r="F193" s="29" t="str">
        <f t="shared" si="24"/>
        <v>-</v>
      </c>
      <c r="G193" s="39">
        <v>13607.64</v>
      </c>
      <c r="H193" s="39"/>
      <c r="I193" s="40"/>
      <c r="J193" s="47">
        <f t="shared" si="22"/>
        <v>0</v>
      </c>
      <c r="K193" s="37">
        <f t="shared" si="23"/>
        <v>0</v>
      </c>
      <c r="L193" s="43">
        <f>IF(ISERROR(VLOOKUP(A193,'Workings Prior Month'!A:N,10,FALSE))=TRUE,0,(VLOOKUP(A193,'Workings Prior Month'!A:N,10,FALSE)))</f>
        <v>0</v>
      </c>
      <c r="M193" s="43">
        <f>IF(ISERROR(VLOOKUP(A193,'Workings Prior Month'!A:N,11,FALSE))=TRUE,0,(VLOOKUP(A193,'Workings Prior Month'!A:N,11,FALSE)))</f>
        <v>0</v>
      </c>
      <c r="N193" s="49">
        <f t="shared" si="26"/>
        <v>0</v>
      </c>
      <c r="O193" s="137">
        <f>IF(ISERROR(VLOOKUP(A193,'Cross ref Tab'!A:C,3,FALSE)=TRUE),9500,VLOOKUP(A193,'Cross ref Tab'!A:C,3,FALSE))</f>
        <v>4000</v>
      </c>
      <c r="P193" s="137">
        <f>IF(A193="","",COUNTIF('Cross ref Tab'!$A$3:$A$311,A193))</f>
        <v>1</v>
      </c>
      <c r="Q193" s="182">
        <f t="shared" si="25"/>
      </c>
      <c r="R193" s="5">
        <f t="shared" si="27"/>
        <v>0</v>
      </c>
      <c r="S193" s="149">
        <f t="shared" si="28"/>
        <v>0</v>
      </c>
      <c r="T193" s="149">
        <f t="shared" si="29"/>
        <v>0</v>
      </c>
      <c r="U193" s="150">
        <f t="shared" si="30"/>
        <v>0</v>
      </c>
      <c r="V193" s="5" t="e">
        <f>VLOOKUP(A193,#REF!,7,FALSE)-C193</f>
        <v>#REF!</v>
      </c>
      <c r="W193" s="5" t="e">
        <f>SUMIF(#REF!,A193,#REF!)-C193</f>
        <v>#REF!</v>
      </c>
      <c r="X193" s="5"/>
      <c r="Y193" s="5"/>
      <c r="Z193" s="5"/>
      <c r="AA193" s="5"/>
      <c r="AB193" s="5"/>
      <c r="AC193" s="5"/>
      <c r="AD193" s="5"/>
      <c r="AE193" s="5"/>
      <c r="AF193" s="5"/>
      <c r="AG193" s="5"/>
      <c r="AH193" s="5"/>
      <c r="AI193" s="5"/>
      <c r="AJ193" s="5"/>
      <c r="AK193" s="5"/>
    </row>
    <row r="194" spans="1:37" ht="15" customHeight="1">
      <c r="A194" s="70" t="str">
        <f>IF(Download!B184="","",Download!B184)</f>
        <v>TR920</v>
      </c>
      <c r="B194" s="70" t="str">
        <f>IF(Download!C184="","",Download!C184)</f>
        <v>Aladdin - 10.12.15</v>
      </c>
      <c r="C194" s="45">
        <f>Download!D184</f>
        <v>0</v>
      </c>
      <c r="D194" s="42">
        <f>Download!H184</f>
        <v>0</v>
      </c>
      <c r="E194" s="252"/>
      <c r="F194" s="29" t="str">
        <f t="shared" si="24"/>
        <v>-</v>
      </c>
      <c r="G194" s="39"/>
      <c r="H194" s="39"/>
      <c r="I194" s="40"/>
      <c r="J194" s="47">
        <f t="shared" si="22"/>
        <v>0</v>
      </c>
      <c r="K194" s="37">
        <f t="shared" si="23"/>
        <v>0</v>
      </c>
      <c r="L194" s="43">
        <f>IF(ISERROR(VLOOKUP(A194,'Workings Prior Month'!A:N,10,FALSE))=TRUE,0,(VLOOKUP(A194,'Workings Prior Month'!A:N,10,FALSE)))</f>
        <v>69.03</v>
      </c>
      <c r="M194" s="43">
        <f>IF(ISERROR(VLOOKUP(A194,'Workings Prior Month'!A:N,11,FALSE))=TRUE,0,(VLOOKUP(A194,'Workings Prior Month'!A:N,11,FALSE)))</f>
        <v>0</v>
      </c>
      <c r="N194" s="49">
        <f t="shared" si="26"/>
        <v>-69.03</v>
      </c>
      <c r="O194" s="137">
        <f>IF(ISERROR(VLOOKUP(A194,'Cross ref Tab'!A:C,3,FALSE)=TRUE),9500,VLOOKUP(A194,'Cross ref Tab'!A:C,3,FALSE))</f>
        <v>4000</v>
      </c>
      <c r="P194" s="137">
        <f>IF(A194="","",COUNTIF('Cross ref Tab'!$A$3:$A$311,A194))</f>
        <v>1</v>
      </c>
      <c r="Q194" s="182">
        <f t="shared" si="25"/>
      </c>
      <c r="R194" s="5">
        <f t="shared" si="27"/>
        <v>0</v>
      </c>
      <c r="S194" s="149">
        <f t="shared" si="28"/>
        <v>0</v>
      </c>
      <c r="T194" s="149">
        <f t="shared" si="29"/>
        <v>0</v>
      </c>
      <c r="U194" s="150">
        <f t="shared" si="30"/>
        <v>69.03</v>
      </c>
      <c r="V194" s="5" t="e">
        <f>VLOOKUP(A194,#REF!,7,FALSE)-C194</f>
        <v>#REF!</v>
      </c>
      <c r="W194" s="5" t="e">
        <f>SUMIF(#REF!,A194,#REF!)-C194</f>
        <v>#REF!</v>
      </c>
      <c r="X194" s="5"/>
      <c r="Y194" s="5"/>
      <c r="Z194" s="5"/>
      <c r="AA194" s="5"/>
      <c r="AB194" s="5"/>
      <c r="AC194" s="5"/>
      <c r="AD194" s="5"/>
      <c r="AE194" s="5"/>
      <c r="AF194" s="5"/>
      <c r="AG194" s="5"/>
      <c r="AH194" s="5"/>
      <c r="AI194" s="5"/>
      <c r="AJ194" s="5"/>
      <c r="AK194" s="5"/>
    </row>
    <row r="195" spans="1:37" ht="15" customHeight="1">
      <c r="A195" s="70" t="str">
        <f>IF(Download!B185="","",Download!B185)</f>
        <v>TR921</v>
      </c>
      <c r="B195" s="70" t="str">
        <f>IF(Download!C185="","",Download!C185)</f>
        <v>Our Country's Good - 8.9.15</v>
      </c>
      <c r="C195" s="45">
        <f>Download!D185</f>
        <v>0</v>
      </c>
      <c r="D195" s="42">
        <f>Download!H185</f>
        <v>0</v>
      </c>
      <c r="E195" s="252"/>
      <c r="F195" s="29" t="str">
        <f t="shared" si="24"/>
        <v>-</v>
      </c>
      <c r="G195" s="39"/>
      <c r="H195" s="39"/>
      <c r="I195" s="40"/>
      <c r="J195" s="47">
        <f t="shared" si="22"/>
        <v>0</v>
      </c>
      <c r="K195" s="37">
        <f t="shared" si="23"/>
        <v>0</v>
      </c>
      <c r="L195" s="43">
        <f>IF(ISERROR(VLOOKUP(A195,'Workings Prior Month'!A:N,10,FALSE))=TRUE,0,(VLOOKUP(A195,'Workings Prior Month'!A:N,10,FALSE)))</f>
        <v>0</v>
      </c>
      <c r="M195" s="43">
        <f>IF(ISERROR(VLOOKUP(A195,'Workings Prior Month'!A:N,11,FALSE))=TRUE,0,(VLOOKUP(A195,'Workings Prior Month'!A:N,11,FALSE)))</f>
        <v>0</v>
      </c>
      <c r="N195" s="49">
        <f t="shared" si="26"/>
        <v>0</v>
      </c>
      <c r="O195" s="137">
        <f>IF(ISERROR(VLOOKUP(A195,'Cross ref Tab'!A:C,3,FALSE)=TRUE),9500,VLOOKUP(A195,'Cross ref Tab'!A:C,3,FALSE))</f>
        <v>4000</v>
      </c>
      <c r="P195" s="137">
        <f>IF(A195="","",COUNTIF('Cross ref Tab'!$A$3:$A$311,A195))</f>
        <v>1</v>
      </c>
      <c r="Q195" s="182">
        <f t="shared" si="25"/>
      </c>
      <c r="R195" s="5">
        <f t="shared" si="27"/>
        <v>0</v>
      </c>
      <c r="S195" s="149">
        <f t="shared" si="28"/>
        <v>0</v>
      </c>
      <c r="T195" s="149">
        <f t="shared" si="29"/>
        <v>0</v>
      </c>
      <c r="U195" s="150">
        <f t="shared" si="30"/>
        <v>0</v>
      </c>
      <c r="V195" s="5" t="e">
        <f>VLOOKUP(A195,#REF!,7,FALSE)-C195</f>
        <v>#REF!</v>
      </c>
      <c r="W195" s="5" t="e">
        <f>SUMIF(#REF!,A195,#REF!)-C195</f>
        <v>#REF!</v>
      </c>
      <c r="X195" s="5"/>
      <c r="Y195" s="5"/>
      <c r="Z195" s="5"/>
      <c r="AA195" s="5"/>
      <c r="AB195" s="5"/>
      <c r="AC195" s="5"/>
      <c r="AD195" s="5"/>
      <c r="AE195" s="5"/>
      <c r="AF195" s="5"/>
      <c r="AG195" s="5"/>
      <c r="AH195" s="5"/>
      <c r="AI195" s="5"/>
      <c r="AJ195" s="5"/>
      <c r="AK195" s="5"/>
    </row>
    <row r="196" spans="1:37" ht="15" customHeight="1">
      <c r="A196" s="70" t="str">
        <f>IF(Download!B186="","",Download!B186)</f>
        <v>TR922</v>
      </c>
      <c r="B196" s="70" t="str">
        <f>IF(Download!C186="","",Download!C186)</f>
        <v>Thriftwood Act.Cent. - Jan '16</v>
      </c>
      <c r="C196" s="45">
        <f>Download!D186</f>
        <v>0</v>
      </c>
      <c r="D196" s="42">
        <f>Download!H186</f>
        <v>-314.97</v>
      </c>
      <c r="E196" s="252"/>
      <c r="F196" s="29" t="str">
        <f t="shared" si="24"/>
        <v>-</v>
      </c>
      <c r="G196" s="39">
        <v>314.97</v>
      </c>
      <c r="H196" s="39"/>
      <c r="I196" s="255"/>
      <c r="J196" s="47">
        <f t="shared" si="22"/>
        <v>0</v>
      </c>
      <c r="K196" s="37">
        <f t="shared" si="23"/>
        <v>0</v>
      </c>
      <c r="L196" s="43">
        <f>IF(ISERROR(VLOOKUP(A196,'Workings Prior Month'!A:N,10,FALSE))=TRUE,0,(VLOOKUP(A196,'Workings Prior Month'!A:N,10,FALSE)))</f>
        <v>0</v>
      </c>
      <c r="M196" s="43">
        <f>IF(ISERROR(VLOOKUP(A196,'Workings Prior Month'!A:N,11,FALSE))=TRUE,0,(VLOOKUP(A196,'Workings Prior Month'!A:N,11,FALSE)))</f>
        <v>0</v>
      </c>
      <c r="N196" s="49">
        <f t="shared" si="26"/>
        <v>0</v>
      </c>
      <c r="O196" s="137">
        <f>IF(ISERROR(VLOOKUP(A196,'Cross ref Tab'!A:C,3,FALSE)=TRUE),9500,VLOOKUP(A196,'Cross ref Tab'!A:C,3,FALSE))</f>
        <v>4000</v>
      </c>
      <c r="P196" s="137">
        <f>IF(A196="","",COUNTIF('Cross ref Tab'!$A$3:$A$311,A196))</f>
        <v>1</v>
      </c>
      <c r="Q196" s="182">
        <f t="shared" si="25"/>
      </c>
      <c r="R196" s="5">
        <f t="shared" si="27"/>
        <v>0</v>
      </c>
      <c r="S196" s="149">
        <f t="shared" si="28"/>
        <v>0</v>
      </c>
      <c r="T196" s="149">
        <f t="shared" si="29"/>
        <v>0</v>
      </c>
      <c r="U196" s="150">
        <f t="shared" si="30"/>
        <v>0</v>
      </c>
      <c r="V196" s="5" t="e">
        <f>VLOOKUP(A196,#REF!,7,FALSE)-C196</f>
        <v>#REF!</v>
      </c>
      <c r="W196" s="5" t="e">
        <f>SUMIF(#REF!,A196,#REF!)-C196</f>
        <v>#REF!</v>
      </c>
      <c r="X196" s="5"/>
      <c r="Y196" s="5"/>
      <c r="Z196" s="5"/>
      <c r="AA196" s="5"/>
      <c r="AB196" s="5"/>
      <c r="AC196" s="5"/>
      <c r="AD196" s="5"/>
      <c r="AE196" s="5"/>
      <c r="AF196" s="5"/>
      <c r="AG196" s="5"/>
      <c r="AH196" s="5"/>
      <c r="AI196" s="5"/>
      <c r="AJ196" s="5"/>
      <c r="AK196" s="5"/>
    </row>
    <row r="197" spans="1:37" ht="15" customHeight="1">
      <c r="A197" s="70" t="str">
        <f>IF(Download!B187="","",Download!B187)</f>
        <v>TR923</v>
      </c>
      <c r="B197" s="70" t="str">
        <f>IF(Download!C187="","",Download!C187)</f>
        <v>New York - October 2014</v>
      </c>
      <c r="C197" s="45">
        <f>Download!D187</f>
        <v>0</v>
      </c>
      <c r="D197" s="42">
        <f>Download!H187</f>
        <v>0</v>
      </c>
      <c r="E197" s="252"/>
      <c r="F197" s="29" t="str">
        <f t="shared" si="24"/>
        <v>-</v>
      </c>
      <c r="G197" s="39"/>
      <c r="H197" s="39"/>
      <c r="I197" s="255"/>
      <c r="J197" s="47">
        <f t="shared" si="22"/>
        <v>0</v>
      </c>
      <c r="K197" s="37">
        <f t="shared" si="23"/>
        <v>0</v>
      </c>
      <c r="L197" s="43">
        <f>IF(ISERROR(VLOOKUP(A197,'Workings Prior Month'!A:N,10,FALSE))=TRUE,0,(VLOOKUP(A197,'Workings Prior Month'!A:N,10,FALSE)))</f>
        <v>0</v>
      </c>
      <c r="M197" s="43">
        <f>IF(ISERROR(VLOOKUP(A197,'Workings Prior Month'!A:N,11,FALSE))=TRUE,0,(VLOOKUP(A197,'Workings Prior Month'!A:N,11,FALSE)))</f>
        <v>0</v>
      </c>
      <c r="N197" s="49">
        <f t="shared" si="26"/>
        <v>0</v>
      </c>
      <c r="O197" s="137">
        <f>IF(ISERROR(VLOOKUP(A197,'Cross ref Tab'!A:C,3,FALSE)=TRUE),9500,VLOOKUP(A197,'Cross ref Tab'!A:C,3,FALSE))</f>
        <v>4000</v>
      </c>
      <c r="P197" s="137">
        <f>IF(A197="","",COUNTIF('Cross ref Tab'!$A$3:$A$311,A197))</f>
        <v>1</v>
      </c>
      <c r="Q197" s="182">
        <f t="shared" si="25"/>
      </c>
      <c r="R197" s="5">
        <f t="shared" si="27"/>
        <v>0</v>
      </c>
      <c r="S197" s="149">
        <f t="shared" si="28"/>
        <v>0</v>
      </c>
      <c r="T197" s="149">
        <f t="shared" si="29"/>
        <v>0</v>
      </c>
      <c r="U197" s="150">
        <f t="shared" si="30"/>
        <v>0</v>
      </c>
      <c r="V197" s="5" t="e">
        <f>VLOOKUP(A197,#REF!,7,FALSE)-C197</f>
        <v>#REF!</v>
      </c>
      <c r="W197" s="5" t="e">
        <f>SUMIF(#REF!,A197,#REF!)-C197</f>
        <v>#REF!</v>
      </c>
      <c r="X197" s="5"/>
      <c r="Y197" s="5"/>
      <c r="Z197" s="5"/>
      <c r="AA197" s="5"/>
      <c r="AB197" s="5"/>
      <c r="AC197" s="5"/>
      <c r="AD197" s="5"/>
      <c r="AE197" s="5"/>
      <c r="AF197" s="5"/>
      <c r="AG197" s="5"/>
      <c r="AH197" s="5"/>
      <c r="AI197" s="5"/>
      <c r="AJ197" s="5"/>
      <c r="AK197" s="5"/>
    </row>
    <row r="198" spans="1:37" ht="15" customHeight="1">
      <c r="A198" s="70" t="str">
        <f>IF(Download!B188="","",Download!B188)</f>
        <v>TR924</v>
      </c>
      <c r="B198" s="70" t="str">
        <f>IF(Download!C188="","",Download!C188)</f>
        <v>Colchester Zoo - Biology 11.3.15</v>
      </c>
      <c r="C198" s="45">
        <f>Download!D188</f>
        <v>0</v>
      </c>
      <c r="D198" s="42">
        <f>Download!H188</f>
        <v>0</v>
      </c>
      <c r="E198" s="252"/>
      <c r="F198" s="29" t="str">
        <f t="shared" si="24"/>
        <v>-</v>
      </c>
      <c r="G198" s="39"/>
      <c r="H198" s="39"/>
      <c r="I198" s="255"/>
      <c r="J198" s="47">
        <f t="shared" si="22"/>
        <v>0</v>
      </c>
      <c r="K198" s="37">
        <f t="shared" si="23"/>
        <v>0</v>
      </c>
      <c r="L198" s="43">
        <f>IF(ISERROR(VLOOKUP(A198,'Workings Prior Month'!A:N,10,FALSE))=TRUE,0,(VLOOKUP(A198,'Workings Prior Month'!A:N,10,FALSE)))</f>
        <v>0</v>
      </c>
      <c r="M198" s="43">
        <f>IF(ISERROR(VLOOKUP(A198,'Workings Prior Month'!A:N,11,FALSE))=TRUE,0,(VLOOKUP(A198,'Workings Prior Month'!A:N,11,FALSE)))</f>
        <v>0</v>
      </c>
      <c r="N198" s="49">
        <f t="shared" si="26"/>
        <v>0</v>
      </c>
      <c r="O198" s="137">
        <f>IF(ISERROR(VLOOKUP(A198,'Cross ref Tab'!A:C,3,FALSE)=TRUE),9500,VLOOKUP(A198,'Cross ref Tab'!A:C,3,FALSE))</f>
        <v>4000</v>
      </c>
      <c r="P198" s="137">
        <f>IF(A198="","",COUNTIF('Cross ref Tab'!$A$3:$A$311,A198))</f>
        <v>1</v>
      </c>
      <c r="Q198" s="182">
        <f t="shared" si="25"/>
      </c>
      <c r="R198" s="5">
        <f t="shared" si="27"/>
        <v>0</v>
      </c>
      <c r="S198" s="149">
        <f t="shared" si="28"/>
        <v>0</v>
      </c>
      <c r="T198" s="149">
        <f t="shared" si="29"/>
        <v>0</v>
      </c>
      <c r="U198" s="150">
        <f t="shared" si="30"/>
        <v>0</v>
      </c>
      <c r="V198" s="5" t="e">
        <f>VLOOKUP(A198,#REF!,7,FALSE)-C198</f>
        <v>#REF!</v>
      </c>
      <c r="W198" s="5" t="e">
        <f>SUMIF(#REF!,A198,#REF!)-C198</f>
        <v>#REF!</v>
      </c>
      <c r="X198" s="5"/>
      <c r="Y198" s="5"/>
      <c r="Z198" s="5"/>
      <c r="AA198" s="5"/>
      <c r="AB198" s="5"/>
      <c r="AC198" s="5"/>
      <c r="AD198" s="5"/>
      <c r="AE198" s="5"/>
      <c r="AF198" s="5"/>
      <c r="AG198" s="5"/>
      <c r="AH198" s="5"/>
      <c r="AI198" s="5"/>
      <c r="AJ198" s="5"/>
      <c r="AK198" s="5"/>
    </row>
    <row r="199" spans="1:37" ht="15" customHeight="1">
      <c r="A199" s="70" t="str">
        <f>IF(Download!B189="","",Download!B189)</f>
        <v>TR925</v>
      </c>
      <c r="B199" s="70" t="str">
        <f>IF(Download!C189="","",Download!C189)</f>
        <v>NAT'L HISTORY MUSEUM 14/07/15</v>
      </c>
      <c r="C199" s="45">
        <f>Download!D189</f>
        <v>0</v>
      </c>
      <c r="D199" s="42">
        <f>Download!H189</f>
        <v>0</v>
      </c>
      <c r="E199" s="252"/>
      <c r="F199" s="29" t="str">
        <f t="shared" si="24"/>
        <v>-</v>
      </c>
      <c r="G199" s="39"/>
      <c r="H199" s="39"/>
      <c r="I199" s="40"/>
      <c r="J199" s="47">
        <f t="shared" si="22"/>
        <v>0</v>
      </c>
      <c r="K199" s="37">
        <f t="shared" si="23"/>
        <v>0</v>
      </c>
      <c r="L199" s="43">
        <f>IF(ISERROR(VLOOKUP(A199,'Workings Prior Month'!A:N,10,FALSE))=TRUE,0,(VLOOKUP(A199,'Workings Prior Month'!A:N,10,FALSE)))</f>
        <v>0</v>
      </c>
      <c r="M199" s="43">
        <f>IF(ISERROR(VLOOKUP(A199,'Workings Prior Month'!A:N,11,FALSE))=TRUE,0,(VLOOKUP(A199,'Workings Prior Month'!A:N,11,FALSE)))</f>
        <v>0</v>
      </c>
      <c r="N199" s="49">
        <f t="shared" si="26"/>
        <v>0</v>
      </c>
      <c r="O199" s="137">
        <f>IF(ISERROR(VLOOKUP(A199,'Cross ref Tab'!A:C,3,FALSE)=TRUE),9500,VLOOKUP(A199,'Cross ref Tab'!A:C,3,FALSE))</f>
        <v>4000</v>
      </c>
      <c r="P199" s="137">
        <f>IF(A199="","",COUNTIF('Cross ref Tab'!$A$3:$A$311,A199))</f>
        <v>1</v>
      </c>
      <c r="Q199" s="182">
        <f t="shared" si="25"/>
      </c>
      <c r="R199" s="5">
        <f t="shared" si="27"/>
        <v>0</v>
      </c>
      <c r="S199" s="149">
        <f t="shared" si="28"/>
        <v>0</v>
      </c>
      <c r="T199" s="149">
        <f t="shared" si="29"/>
        <v>0</v>
      </c>
      <c r="U199" s="150">
        <f t="shared" si="30"/>
        <v>0</v>
      </c>
      <c r="V199" s="5" t="e">
        <f>VLOOKUP(A199,#REF!,7,FALSE)-C199</f>
        <v>#REF!</v>
      </c>
      <c r="W199" s="5" t="e">
        <f>SUMIF(#REF!,A199,#REF!)-C199</f>
        <v>#REF!</v>
      </c>
      <c r="X199" s="5"/>
      <c r="Y199" s="5"/>
      <c r="Z199" s="5"/>
      <c r="AA199" s="5"/>
      <c r="AB199" s="5"/>
      <c r="AC199" s="5"/>
      <c r="AD199" s="5"/>
      <c r="AE199" s="5"/>
      <c r="AF199" s="5"/>
      <c r="AG199" s="5"/>
      <c r="AH199" s="5"/>
      <c r="AI199" s="5"/>
      <c r="AJ199" s="5"/>
      <c r="AK199" s="5"/>
    </row>
    <row r="200" spans="1:37" ht="15" customHeight="1">
      <c r="A200" s="70" t="str">
        <f>IF(Download!B190="","",Download!B190)</f>
        <v>TR926</v>
      </c>
      <c r="B200" s="70" t="str">
        <f>IF(Download!C190="","",Download!C190)</f>
        <v>The Lion King - 13.5.15</v>
      </c>
      <c r="C200" s="45">
        <f>Download!D190</f>
        <v>0</v>
      </c>
      <c r="D200" s="42">
        <f>Download!H190</f>
        <v>0</v>
      </c>
      <c r="E200" s="252"/>
      <c r="F200" s="29" t="str">
        <f t="shared" si="24"/>
        <v>-</v>
      </c>
      <c r="G200" s="39"/>
      <c r="H200" s="39"/>
      <c r="I200" s="255"/>
      <c r="J200" s="47">
        <f t="shared" si="22"/>
        <v>0</v>
      </c>
      <c r="K200" s="37">
        <f t="shared" si="23"/>
        <v>0</v>
      </c>
      <c r="L200" s="43">
        <f>IF(ISERROR(VLOOKUP(A200,'Workings Prior Month'!A:N,10,FALSE))=TRUE,0,(VLOOKUP(A200,'Workings Prior Month'!A:N,10,FALSE)))</f>
        <v>0</v>
      </c>
      <c r="M200" s="43">
        <f>IF(ISERROR(VLOOKUP(A200,'Workings Prior Month'!A:N,11,FALSE))=TRUE,0,(VLOOKUP(A200,'Workings Prior Month'!A:N,11,FALSE)))</f>
        <v>0</v>
      </c>
      <c r="N200" s="49">
        <f t="shared" si="26"/>
        <v>0</v>
      </c>
      <c r="O200" s="137">
        <f>IF(ISERROR(VLOOKUP(A200,'Cross ref Tab'!A:C,3,FALSE)=TRUE),9500,VLOOKUP(A200,'Cross ref Tab'!A:C,3,FALSE))</f>
        <v>4000</v>
      </c>
      <c r="P200" s="137">
        <f>IF(A200="","",COUNTIF('Cross ref Tab'!$A$3:$A$311,A200))</f>
        <v>1</v>
      </c>
      <c r="Q200" s="182">
        <f t="shared" si="25"/>
      </c>
      <c r="R200" s="5">
        <f t="shared" si="27"/>
        <v>0</v>
      </c>
      <c r="S200" s="149">
        <f t="shared" si="28"/>
        <v>0</v>
      </c>
      <c r="T200" s="149">
        <f t="shared" si="29"/>
        <v>0</v>
      </c>
      <c r="U200" s="150">
        <f t="shared" si="30"/>
        <v>0</v>
      </c>
      <c r="V200" s="5" t="e">
        <f>VLOOKUP(A200,#REF!,7,FALSE)-C200</f>
        <v>#REF!</v>
      </c>
      <c r="W200" s="5" t="e">
        <f>SUMIF(#REF!,A200,#REF!)-C200</f>
        <v>#REF!</v>
      </c>
      <c r="X200" s="5"/>
      <c r="Y200" s="5"/>
      <c r="Z200" s="5"/>
      <c r="AA200" s="5"/>
      <c r="AB200" s="5"/>
      <c r="AC200" s="5"/>
      <c r="AD200" s="5"/>
      <c r="AE200" s="5"/>
      <c r="AF200" s="5"/>
      <c r="AG200" s="5"/>
      <c r="AH200" s="5"/>
      <c r="AI200" s="5"/>
      <c r="AJ200" s="5"/>
      <c r="AK200" s="5"/>
    </row>
    <row r="201" spans="1:37" ht="15" customHeight="1">
      <c r="A201" s="70" t="str">
        <f>IF(Download!B191="","",Download!B191)</f>
        <v>TR927</v>
      </c>
      <c r="B201" s="70" t="str">
        <f>IF(Download!C191="","",Download!C191)</f>
        <v>Stubbers Adv.Cent. - 22-24/06/16</v>
      </c>
      <c r="C201" s="45">
        <f>Download!D191</f>
        <v>0</v>
      </c>
      <c r="D201" s="42">
        <f>Download!H191</f>
        <v>-16947.66</v>
      </c>
      <c r="E201" s="252"/>
      <c r="F201" s="29" t="str">
        <f t="shared" si="24"/>
        <v>-</v>
      </c>
      <c r="G201" s="39">
        <v>16947.66</v>
      </c>
      <c r="H201" s="39"/>
      <c r="I201" s="40"/>
      <c r="J201" s="47">
        <f t="shared" si="22"/>
        <v>0</v>
      </c>
      <c r="K201" s="37">
        <f t="shared" si="23"/>
        <v>0</v>
      </c>
      <c r="L201" s="43">
        <f>IF(ISERROR(VLOOKUP(A201,'Workings Prior Month'!A:N,10,FALSE))=TRUE,0,(VLOOKUP(A201,'Workings Prior Month'!A:N,10,FALSE)))</f>
        <v>0</v>
      </c>
      <c r="M201" s="43">
        <f>IF(ISERROR(VLOOKUP(A201,'Workings Prior Month'!A:N,11,FALSE))=TRUE,0,(VLOOKUP(A201,'Workings Prior Month'!A:N,11,FALSE)))</f>
        <v>0</v>
      </c>
      <c r="N201" s="49">
        <f t="shared" si="26"/>
        <v>0</v>
      </c>
      <c r="O201" s="137">
        <f>IF(ISERROR(VLOOKUP(A201,'Cross ref Tab'!A:C,3,FALSE)=TRUE),9500,VLOOKUP(A201,'Cross ref Tab'!A:C,3,FALSE))</f>
        <v>4000</v>
      </c>
      <c r="P201" s="137">
        <f>IF(A201="","",COUNTIF('Cross ref Tab'!$A$3:$A$311,A201))</f>
        <v>1</v>
      </c>
      <c r="Q201" s="182">
        <f t="shared" si="25"/>
      </c>
      <c r="R201" s="5">
        <f t="shared" si="27"/>
        <v>0</v>
      </c>
      <c r="S201" s="149">
        <f t="shared" si="28"/>
        <v>0</v>
      </c>
      <c r="T201" s="149">
        <f t="shared" si="29"/>
        <v>0</v>
      </c>
      <c r="U201" s="150">
        <f t="shared" si="30"/>
        <v>0</v>
      </c>
      <c r="V201" s="5" t="e">
        <f>VLOOKUP(A201,#REF!,7,FALSE)-C201</f>
        <v>#REF!</v>
      </c>
      <c r="W201" s="5" t="e">
        <f>SUMIF(#REF!,A201,#REF!)-C201</f>
        <v>#REF!</v>
      </c>
      <c r="X201" s="5"/>
      <c r="Y201" s="5"/>
      <c r="Z201" s="5"/>
      <c r="AA201" s="5"/>
      <c r="AB201" s="5"/>
      <c r="AC201" s="5"/>
      <c r="AD201" s="5"/>
      <c r="AE201" s="5"/>
      <c r="AF201" s="5"/>
      <c r="AG201" s="5"/>
      <c r="AH201" s="5"/>
      <c r="AI201" s="5"/>
      <c r="AJ201" s="5"/>
      <c r="AK201" s="5"/>
    </row>
    <row r="202" spans="1:37" ht="15" customHeight="1">
      <c r="A202" s="254" t="str">
        <f>IF(Download!B192="","",Download!B192)</f>
        <v>TR928</v>
      </c>
      <c r="B202" s="254" t="str">
        <f>IF(Download!C192="","",Download!C192)</f>
        <v>Science Revision Guide &amp; Workboo</v>
      </c>
      <c r="C202" s="254">
        <f>Download!D192</f>
        <v>0</v>
      </c>
      <c r="D202" s="42">
        <f>Download!H192</f>
        <v>314.41</v>
      </c>
      <c r="E202" s="252"/>
      <c r="F202" s="29" t="str">
        <f t="shared" si="24"/>
        <v>-</v>
      </c>
      <c r="G202" s="39"/>
      <c r="H202" s="39">
        <v>314.41</v>
      </c>
      <c r="I202" s="40"/>
      <c r="J202" s="47">
        <f t="shared" si="22"/>
        <v>0</v>
      </c>
      <c r="K202" s="37">
        <f t="shared" si="23"/>
        <v>0</v>
      </c>
      <c r="L202" s="43">
        <f>IF(ISERROR(VLOOKUP(A202,'Workings Prior Month'!A:N,10,FALSE))=TRUE,0,(VLOOKUP(A202,'Workings Prior Month'!A:N,10,FALSE)))</f>
        <v>0</v>
      </c>
      <c r="M202" s="43">
        <f>IF(ISERROR(VLOOKUP(A202,'Workings Prior Month'!A:N,11,FALSE))=TRUE,0,(VLOOKUP(A202,'Workings Prior Month'!A:N,11,FALSE)))</f>
        <v>0</v>
      </c>
      <c r="N202" s="49">
        <f t="shared" si="26"/>
        <v>0</v>
      </c>
      <c r="O202" s="137">
        <f>IF(ISERROR(VLOOKUP(A202,'Cross ref Tab'!A:C,3,FALSE)=TRUE),9500,VLOOKUP(A202,'Cross ref Tab'!A:C,3,FALSE))</f>
        <v>4000</v>
      </c>
      <c r="P202" s="137">
        <f>IF(A202="","",COUNTIF('Cross ref Tab'!$A$3:$A$311,A202))</f>
        <v>1</v>
      </c>
      <c r="Q202" s="182">
        <f t="shared" si="25"/>
      </c>
      <c r="R202" s="5">
        <f t="shared" si="27"/>
        <v>0</v>
      </c>
      <c r="S202" s="149">
        <f t="shared" si="28"/>
        <v>0</v>
      </c>
      <c r="T202" s="149">
        <f t="shared" si="29"/>
        <v>0</v>
      </c>
      <c r="U202" s="150">
        <f t="shared" si="30"/>
        <v>0</v>
      </c>
      <c r="V202" s="5" t="e">
        <f>VLOOKUP(A202,#REF!,7,FALSE)-C202</f>
        <v>#REF!</v>
      </c>
      <c r="W202" s="5" t="e">
        <f>SUMIF(#REF!,A202,#REF!)-C202</f>
        <v>#REF!</v>
      </c>
      <c r="X202" s="5"/>
      <c r="Y202" s="5"/>
      <c r="Z202" s="5"/>
      <c r="AA202" s="5"/>
      <c r="AB202" s="5"/>
      <c r="AC202" s="5"/>
      <c r="AD202" s="5"/>
      <c r="AE202" s="5"/>
      <c r="AF202" s="5"/>
      <c r="AG202" s="5"/>
      <c r="AH202" s="5"/>
      <c r="AI202" s="5"/>
      <c r="AJ202" s="5"/>
      <c r="AK202" s="5"/>
    </row>
    <row r="203" spans="1:37" ht="15" customHeight="1">
      <c r="A203" s="254" t="str">
        <f>IF(Download!B193="","",Download!B193)</f>
        <v>TR929</v>
      </c>
      <c r="B203" s="254" t="str">
        <f>IF(Download!C193="","",Download!C193)</f>
        <v>Loughborough Uni. 25.11.14</v>
      </c>
      <c r="C203" s="254">
        <f>Download!D193</f>
        <v>0</v>
      </c>
      <c r="D203" s="42">
        <f>Download!H193</f>
        <v>0</v>
      </c>
      <c r="E203" s="252"/>
      <c r="F203" s="29" t="str">
        <f t="shared" si="24"/>
        <v>-</v>
      </c>
      <c r="G203" s="39"/>
      <c r="H203" s="39"/>
      <c r="I203" s="40"/>
      <c r="J203" s="47">
        <f aca="true" t="shared" si="31" ref="J203:J220">IF(D203+G203-H203&gt;0,D203+G203-H203,0)</f>
        <v>0</v>
      </c>
      <c r="K203" s="37">
        <f aca="true" t="shared" si="32" ref="K203:K220">IF(D203+G203-H203&lt;=0,-D203-G203+H203,0)</f>
        <v>0</v>
      </c>
      <c r="L203" s="43">
        <f>IF(ISERROR(VLOOKUP(A203,'Workings Prior Month'!A:N,10,FALSE))=TRUE,0,(VLOOKUP(A203,'Workings Prior Month'!A:N,10,FALSE)))</f>
        <v>0</v>
      </c>
      <c r="M203" s="43">
        <f>IF(ISERROR(VLOOKUP(A203,'Workings Prior Month'!A:N,11,FALSE))=TRUE,0,(VLOOKUP(A203,'Workings Prior Month'!A:N,11,FALSE)))</f>
        <v>0</v>
      </c>
      <c r="N203" s="49">
        <f t="shared" si="26"/>
        <v>0</v>
      </c>
      <c r="O203" s="137">
        <f>IF(ISERROR(VLOOKUP(A203,'Cross ref Tab'!A:C,3,FALSE)=TRUE),9500,VLOOKUP(A203,'Cross ref Tab'!A:C,3,FALSE))</f>
        <v>4000</v>
      </c>
      <c r="P203" s="137">
        <f>IF(A203="","",COUNTIF('Cross ref Tab'!$A$3:$A$311,A203))</f>
        <v>1</v>
      </c>
      <c r="Q203" s="182">
        <f t="shared" si="25"/>
      </c>
      <c r="R203" s="5">
        <f t="shared" si="27"/>
        <v>0</v>
      </c>
      <c r="S203" s="149">
        <f t="shared" si="28"/>
        <v>0</v>
      </c>
      <c r="T203" s="149">
        <f t="shared" si="29"/>
        <v>0</v>
      </c>
      <c r="U203" s="150">
        <f t="shared" si="30"/>
        <v>0</v>
      </c>
      <c r="V203" s="5" t="e">
        <f>VLOOKUP(A203,#REF!,7,FALSE)-C203</f>
        <v>#REF!</v>
      </c>
      <c r="W203" s="5" t="e">
        <f>SUMIF(#REF!,A203,#REF!)-C203</f>
        <v>#REF!</v>
      </c>
      <c r="X203" s="5"/>
      <c r="Y203" s="5"/>
      <c r="Z203" s="5"/>
      <c r="AA203" s="5"/>
      <c r="AB203" s="5"/>
      <c r="AC203" s="5"/>
      <c r="AD203" s="5"/>
      <c r="AE203" s="5"/>
      <c r="AF203" s="5"/>
      <c r="AG203" s="5"/>
      <c r="AH203" s="5"/>
      <c r="AI203" s="5"/>
      <c r="AJ203" s="5"/>
      <c r="AK203" s="5"/>
    </row>
    <row r="204" spans="1:37" ht="15" customHeight="1">
      <c r="A204" s="254" t="str">
        <f>IF(Download!B194="","",Download!B194)</f>
        <v>TR930</v>
      </c>
      <c r="B204" s="254" t="str">
        <f>IF(Download!C194="","",Download!C194)</f>
        <v>Slapton-Geography 1/5 Feb 2016</v>
      </c>
      <c r="C204" s="254">
        <f>Download!D194</f>
        <v>0</v>
      </c>
      <c r="D204" s="42">
        <f>Download!H194</f>
        <v>-1051.71</v>
      </c>
      <c r="E204" s="252"/>
      <c r="F204" s="29" t="str">
        <f aca="true" t="shared" si="33" ref="F204:F220">IF(C204=0,"-",(C204-D204)/C204)</f>
        <v>-</v>
      </c>
      <c r="G204" s="39">
        <v>1051.71</v>
      </c>
      <c r="H204" s="39"/>
      <c r="I204" s="255"/>
      <c r="J204" s="47">
        <f t="shared" si="31"/>
        <v>0</v>
      </c>
      <c r="K204" s="37">
        <f t="shared" si="32"/>
        <v>0</v>
      </c>
      <c r="L204" s="43">
        <f>IF(ISERROR(VLOOKUP(A204,'Workings Prior Month'!A:N,10,FALSE))=TRUE,0,(VLOOKUP(A204,'Workings Prior Month'!A:N,10,FALSE)))</f>
        <v>0</v>
      </c>
      <c r="M204" s="43">
        <f>IF(ISERROR(VLOOKUP(A204,'Workings Prior Month'!A:N,11,FALSE))=TRUE,0,(VLOOKUP(A204,'Workings Prior Month'!A:N,11,FALSE)))</f>
        <v>0</v>
      </c>
      <c r="N204" s="49">
        <f t="shared" si="26"/>
        <v>0</v>
      </c>
      <c r="O204" s="137">
        <f>IF(ISERROR(VLOOKUP(A204,'Cross ref Tab'!A:C,3,FALSE)=TRUE),9500,VLOOKUP(A204,'Cross ref Tab'!A:C,3,FALSE))</f>
        <v>4000</v>
      </c>
      <c r="P204" s="137">
        <f>IF(A204="","",COUNTIF('Cross ref Tab'!$A$3:$A$311,A204))</f>
        <v>1</v>
      </c>
      <c r="Q204" s="182">
        <f aca="true" t="shared" si="34" ref="Q204:Q220">IF(O204=9500,+" XREF Code Required","")</f>
      </c>
      <c r="R204" s="5">
        <f t="shared" si="27"/>
        <v>0</v>
      </c>
      <c r="S204" s="149">
        <f t="shared" si="28"/>
        <v>0</v>
      </c>
      <c r="T204" s="149">
        <f t="shared" si="29"/>
        <v>0</v>
      </c>
      <c r="U204" s="150">
        <f t="shared" si="30"/>
        <v>0</v>
      </c>
      <c r="V204" s="5" t="e">
        <f>VLOOKUP(A204,#REF!,7,FALSE)-C204</f>
        <v>#REF!</v>
      </c>
      <c r="W204" s="5" t="e">
        <f>SUMIF(#REF!,A204,#REF!)-C204</f>
        <v>#REF!</v>
      </c>
      <c r="X204" s="5"/>
      <c r="Y204" s="5"/>
      <c r="Z204" s="5"/>
      <c r="AA204" s="5"/>
      <c r="AB204" s="5"/>
      <c r="AC204" s="5"/>
      <c r="AD204" s="5"/>
      <c r="AE204" s="5"/>
      <c r="AF204" s="5"/>
      <c r="AG204" s="5"/>
      <c r="AH204" s="5"/>
      <c r="AI204" s="5"/>
      <c r="AJ204" s="5"/>
      <c r="AK204" s="5"/>
    </row>
    <row r="205" spans="1:37" ht="15" customHeight="1">
      <c r="A205" s="254" t="str">
        <f>IF(Download!B195="","",Download!B195)</f>
        <v>TR931</v>
      </c>
      <c r="B205" s="254" t="str">
        <f>IF(Download!C195="","",Download!C195)</f>
        <v>Tate Britain - 11.3.15</v>
      </c>
      <c r="C205" s="254">
        <f>Download!D195</f>
        <v>0</v>
      </c>
      <c r="D205" s="42">
        <f>Download!H195</f>
        <v>0</v>
      </c>
      <c r="E205" s="252"/>
      <c r="F205" s="29" t="str">
        <f t="shared" si="33"/>
        <v>-</v>
      </c>
      <c r="G205" s="39"/>
      <c r="H205" s="39"/>
      <c r="I205" s="255"/>
      <c r="J205" s="47">
        <f t="shared" si="31"/>
        <v>0</v>
      </c>
      <c r="K205" s="37">
        <f t="shared" si="32"/>
        <v>0</v>
      </c>
      <c r="L205" s="43">
        <f>IF(ISERROR(VLOOKUP(A205,'Workings Prior Month'!A:N,10,FALSE))=TRUE,0,(VLOOKUP(A205,'Workings Prior Month'!A:N,10,FALSE)))</f>
        <v>0</v>
      </c>
      <c r="M205" s="43">
        <f>IF(ISERROR(VLOOKUP(A205,'Workings Prior Month'!A:N,11,FALSE))=TRUE,0,(VLOOKUP(A205,'Workings Prior Month'!A:N,11,FALSE)))</f>
        <v>0</v>
      </c>
      <c r="N205" s="49">
        <f aca="true" t="shared" si="35" ref="N205:N220">M205-L205-K205+J205</f>
        <v>0</v>
      </c>
      <c r="O205" s="137">
        <f>IF(ISERROR(VLOOKUP(A205,'Cross ref Tab'!A:C,3,FALSE)=TRUE),9500,VLOOKUP(A205,'Cross ref Tab'!A:C,3,FALSE))</f>
        <v>4000</v>
      </c>
      <c r="P205" s="137">
        <f>IF(A205="","",COUNTIF('Cross ref Tab'!$A$3:$A$311,A205))</f>
        <v>1</v>
      </c>
      <c r="Q205" s="182">
        <f t="shared" si="34"/>
      </c>
      <c r="R205" s="5">
        <f t="shared" si="27"/>
        <v>0</v>
      </c>
      <c r="S205" s="149">
        <f t="shared" si="28"/>
        <v>0</v>
      </c>
      <c r="T205" s="149">
        <f t="shared" si="29"/>
        <v>0</v>
      </c>
      <c r="U205" s="150">
        <f t="shared" si="30"/>
        <v>0</v>
      </c>
      <c r="V205" s="5" t="e">
        <f>VLOOKUP(A205,#REF!,7,FALSE)-C205</f>
        <v>#REF!</v>
      </c>
      <c r="W205" s="5" t="e">
        <f>SUMIF(#REF!,A205,#REF!)-C205</f>
        <v>#REF!</v>
      </c>
      <c r="X205" s="5"/>
      <c r="Y205" s="5"/>
      <c r="Z205" s="5"/>
      <c r="AA205" s="5"/>
      <c r="AB205" s="5"/>
      <c r="AC205" s="5"/>
      <c r="AD205" s="5"/>
      <c r="AE205" s="5"/>
      <c r="AF205" s="5"/>
      <c r="AG205" s="5"/>
      <c r="AH205" s="5"/>
      <c r="AI205" s="5"/>
      <c r="AJ205" s="5"/>
      <c r="AK205" s="5"/>
    </row>
    <row r="206" spans="1:37" ht="15" customHeight="1">
      <c r="A206" s="254" t="str">
        <f>IF(Download!B196="","",Download!B196)</f>
        <v>TR932</v>
      </c>
      <c r="B206" s="254" t="str">
        <f>IF(Download!C196="","",Download!C196)</f>
        <v>Mersea Centre - 10th-12th Jun 15</v>
      </c>
      <c r="C206" s="254">
        <f>Download!D196</f>
        <v>217</v>
      </c>
      <c r="D206" s="42">
        <f>Download!H196</f>
        <v>217</v>
      </c>
      <c r="E206" s="252"/>
      <c r="F206" s="29">
        <f t="shared" si="33"/>
        <v>0</v>
      </c>
      <c r="G206" s="39"/>
      <c r="H206" s="39">
        <v>217</v>
      </c>
      <c r="I206" s="40"/>
      <c r="J206" s="47">
        <f t="shared" si="31"/>
        <v>0</v>
      </c>
      <c r="K206" s="37">
        <f t="shared" si="32"/>
        <v>0</v>
      </c>
      <c r="L206" s="43">
        <f>IF(ISERROR(VLOOKUP(A206,'Workings Prior Month'!A:N,10,FALSE))=TRUE,0,(VLOOKUP(A206,'Workings Prior Month'!A:N,10,FALSE)))</f>
        <v>0</v>
      </c>
      <c r="M206" s="43">
        <f>IF(ISERROR(VLOOKUP(A206,'Workings Prior Month'!A:N,11,FALSE))=TRUE,0,(VLOOKUP(A206,'Workings Prior Month'!A:N,11,FALSE)))</f>
        <v>0</v>
      </c>
      <c r="N206" s="49">
        <f t="shared" si="35"/>
        <v>0</v>
      </c>
      <c r="O206" s="137">
        <f>IF(ISERROR(VLOOKUP(A206,'Cross ref Tab'!A:C,3,FALSE)=TRUE),9500,VLOOKUP(A206,'Cross ref Tab'!A:C,3,FALSE))</f>
        <v>4000</v>
      </c>
      <c r="P206" s="137">
        <f>IF(A206="","",COUNTIF('Cross ref Tab'!$A$3:$A$311,A206))</f>
        <v>1</v>
      </c>
      <c r="Q206" s="182">
        <f t="shared" si="34"/>
      </c>
      <c r="R206" s="5">
        <f t="shared" si="27"/>
        <v>217</v>
      </c>
      <c r="S206" s="149">
        <f t="shared" si="28"/>
        <v>217</v>
      </c>
      <c r="T206" s="149">
        <f t="shared" si="29"/>
        <v>0</v>
      </c>
      <c r="U206" s="150">
        <f t="shared" si="30"/>
        <v>0</v>
      </c>
      <c r="V206" s="5" t="e">
        <f>VLOOKUP(A206,#REF!,7,FALSE)-C206</f>
        <v>#REF!</v>
      </c>
      <c r="W206" s="5" t="e">
        <f>SUMIF(#REF!,A206,#REF!)-C206</f>
        <v>#REF!</v>
      </c>
      <c r="X206" s="5"/>
      <c r="Y206" s="5"/>
      <c r="Z206" s="5"/>
      <c r="AA206" s="5"/>
      <c r="AB206" s="5"/>
      <c r="AC206" s="5"/>
      <c r="AD206" s="5"/>
      <c r="AE206" s="5"/>
      <c r="AF206" s="5"/>
      <c r="AG206" s="5"/>
      <c r="AH206" s="5"/>
      <c r="AI206" s="5"/>
      <c r="AJ206" s="5"/>
      <c r="AK206" s="5"/>
    </row>
    <row r="207" spans="1:37" ht="15" customHeight="1">
      <c r="A207" s="254" t="str">
        <f>IF(Download!B197="","",Download!B197)</f>
        <v>TR933</v>
      </c>
      <c r="B207" s="254" t="str">
        <f>IF(Download!C197="","",Download!C197)</f>
        <v>Foot.Acad. Miami Tour Mar/Apr 15</v>
      </c>
      <c r="C207" s="254">
        <f>Download!D197</f>
        <v>0</v>
      </c>
      <c r="D207" s="42">
        <f>Download!H197</f>
        <v>0</v>
      </c>
      <c r="E207" s="252"/>
      <c r="F207" s="29" t="str">
        <f t="shared" si="33"/>
        <v>-</v>
      </c>
      <c r="G207" s="39"/>
      <c r="H207" s="39"/>
      <c r="I207" s="255"/>
      <c r="J207" s="47">
        <f t="shared" si="31"/>
        <v>0</v>
      </c>
      <c r="K207" s="37">
        <f t="shared" si="32"/>
        <v>0</v>
      </c>
      <c r="L207" s="43">
        <f>IF(ISERROR(VLOOKUP(A207,'Workings Prior Month'!A:N,10,FALSE))=TRUE,0,(VLOOKUP(A207,'Workings Prior Month'!A:N,10,FALSE)))</f>
        <v>0</v>
      </c>
      <c r="M207" s="43">
        <f>IF(ISERROR(VLOOKUP(A207,'Workings Prior Month'!A:N,11,FALSE))=TRUE,0,(VLOOKUP(A207,'Workings Prior Month'!A:N,11,FALSE)))</f>
        <v>0</v>
      </c>
      <c r="N207" s="49">
        <f t="shared" si="35"/>
        <v>0</v>
      </c>
      <c r="O207" s="137">
        <f>IF(ISERROR(VLOOKUP(A207,'Cross ref Tab'!A:C,3,FALSE)=TRUE),9500,VLOOKUP(A207,'Cross ref Tab'!A:C,3,FALSE))</f>
        <v>4000</v>
      </c>
      <c r="P207" s="137">
        <f>IF(A207="","",COUNTIF('Cross ref Tab'!$A$3:$A$311,A207))</f>
        <v>1</v>
      </c>
      <c r="Q207" s="182">
        <f t="shared" si="34"/>
      </c>
      <c r="R207" s="5">
        <f t="shared" si="27"/>
        <v>0</v>
      </c>
      <c r="S207" s="149">
        <f t="shared" si="28"/>
        <v>0</v>
      </c>
      <c r="T207" s="149">
        <f t="shared" si="29"/>
        <v>0</v>
      </c>
      <c r="U207" s="150">
        <f t="shared" si="30"/>
        <v>0</v>
      </c>
      <c r="V207" s="5" t="e">
        <f>VLOOKUP(A207,#REF!,7,FALSE)-C207</f>
        <v>#REF!</v>
      </c>
      <c r="W207" s="5" t="e">
        <f>SUMIF(#REF!,A207,#REF!)-C207</f>
        <v>#REF!</v>
      </c>
      <c r="X207" s="5"/>
      <c r="Y207" s="5"/>
      <c r="Z207" s="5"/>
      <c r="AA207" s="5"/>
      <c r="AB207" s="5"/>
      <c r="AC207" s="5"/>
      <c r="AD207" s="5"/>
      <c r="AE207" s="5"/>
      <c r="AF207" s="5"/>
      <c r="AG207" s="5"/>
      <c r="AH207" s="5"/>
      <c r="AI207" s="5"/>
      <c r="AJ207" s="5"/>
      <c r="AK207" s="5"/>
    </row>
    <row r="208" spans="1:37" ht="15" customHeight="1">
      <c r="A208" s="70" t="str">
        <f>IF(Download!B198="","",Download!B198)</f>
        <v>TR934</v>
      </c>
      <c r="B208" s="70" t="str">
        <f>IF(Download!C198="","",Download!C198)</f>
        <v>Cricket Academy Kit</v>
      </c>
      <c r="C208" s="45">
        <f>Download!D198</f>
        <v>0</v>
      </c>
      <c r="D208" s="42">
        <f>Download!H198</f>
        <v>0</v>
      </c>
      <c r="E208" s="252"/>
      <c r="F208" s="29" t="str">
        <f t="shared" si="33"/>
        <v>-</v>
      </c>
      <c r="G208" s="39"/>
      <c r="H208" s="39"/>
      <c r="I208" s="255"/>
      <c r="J208" s="47">
        <f t="shared" si="31"/>
        <v>0</v>
      </c>
      <c r="K208" s="37">
        <f t="shared" si="32"/>
        <v>0</v>
      </c>
      <c r="L208" s="43">
        <f>IF(ISERROR(VLOOKUP(A208,'Workings Prior Month'!A:N,10,FALSE))=TRUE,0,(VLOOKUP(A208,'Workings Prior Month'!A:N,10,FALSE)))</f>
        <v>0</v>
      </c>
      <c r="M208" s="43">
        <f>IF(ISERROR(VLOOKUP(A208,'Workings Prior Month'!A:N,11,FALSE))=TRUE,0,(VLOOKUP(A208,'Workings Prior Month'!A:N,11,FALSE)))</f>
        <v>0</v>
      </c>
      <c r="N208" s="49">
        <f t="shared" si="35"/>
        <v>0</v>
      </c>
      <c r="O208" s="137">
        <f>IF(ISERROR(VLOOKUP(A208,'Cross ref Tab'!A:C,3,FALSE)=TRUE),9500,VLOOKUP(A208,'Cross ref Tab'!A:C,3,FALSE))</f>
        <v>4000</v>
      </c>
      <c r="P208" s="137">
        <f>IF(A208="","",COUNTIF('Cross ref Tab'!$A$3:$A$311,A208))</f>
        <v>1</v>
      </c>
      <c r="Q208" s="182">
        <f t="shared" si="34"/>
      </c>
      <c r="R208" s="5">
        <f t="shared" si="27"/>
        <v>0</v>
      </c>
      <c r="S208" s="149">
        <f t="shared" si="28"/>
        <v>0</v>
      </c>
      <c r="T208" s="149">
        <f t="shared" si="29"/>
        <v>0</v>
      </c>
      <c r="U208" s="150">
        <f t="shared" si="30"/>
        <v>0</v>
      </c>
      <c r="V208" s="5" t="e">
        <f>VLOOKUP(A208,#REF!,7,FALSE)-C208</f>
        <v>#REF!</v>
      </c>
      <c r="W208" s="5" t="e">
        <f>SUMIF(#REF!,A208,#REF!)-C208</f>
        <v>#REF!</v>
      </c>
      <c r="X208" s="5"/>
      <c r="Y208" s="5"/>
      <c r="Z208" s="5"/>
      <c r="AA208" s="5"/>
      <c r="AB208" s="5"/>
      <c r="AC208" s="5"/>
      <c r="AD208" s="5"/>
      <c r="AE208" s="5"/>
      <c r="AF208" s="5"/>
      <c r="AG208" s="5"/>
      <c r="AH208" s="5"/>
      <c r="AI208" s="5"/>
      <c r="AJ208" s="5"/>
      <c r="AK208" s="5"/>
    </row>
    <row r="209" spans="1:37" ht="15" customHeight="1">
      <c r="A209" s="70" t="str">
        <f>IF(Download!B199="","",Download!B199)</f>
        <v>TR935</v>
      </c>
      <c r="B209" s="70" t="str">
        <f>IF(Download!C199="","",Download!C199)</f>
        <v>STEM Roadshow 10.12.14</v>
      </c>
      <c r="C209" s="45">
        <f>Download!D199</f>
        <v>0</v>
      </c>
      <c r="D209" s="42">
        <f>Download!H199</f>
        <v>0</v>
      </c>
      <c r="E209" s="252"/>
      <c r="F209" s="29" t="str">
        <f t="shared" si="33"/>
        <v>-</v>
      </c>
      <c r="G209" s="39"/>
      <c r="H209" s="39"/>
      <c r="I209" s="255"/>
      <c r="J209" s="47">
        <f t="shared" si="31"/>
        <v>0</v>
      </c>
      <c r="K209" s="37">
        <f t="shared" si="32"/>
        <v>0</v>
      </c>
      <c r="L209" s="43">
        <f>IF(ISERROR(VLOOKUP(A209,'Workings Prior Month'!A:N,10,FALSE))=TRUE,0,(VLOOKUP(A209,'Workings Prior Month'!A:N,10,FALSE)))</f>
        <v>0</v>
      </c>
      <c r="M209" s="43">
        <f>IF(ISERROR(VLOOKUP(A209,'Workings Prior Month'!A:N,11,FALSE))=TRUE,0,(VLOOKUP(A209,'Workings Prior Month'!A:N,11,FALSE)))</f>
        <v>0</v>
      </c>
      <c r="N209" s="49">
        <f t="shared" si="35"/>
        <v>0</v>
      </c>
      <c r="O209" s="137">
        <f>IF(ISERROR(VLOOKUP(A209,'Cross ref Tab'!A:C,3,FALSE)=TRUE),9500,VLOOKUP(A209,'Cross ref Tab'!A:C,3,FALSE))</f>
        <v>4000</v>
      </c>
      <c r="P209" s="137">
        <f>IF(A209="","",COUNTIF('Cross ref Tab'!$A$3:$A$311,A209))</f>
        <v>1</v>
      </c>
      <c r="Q209" s="182">
        <f t="shared" si="34"/>
      </c>
      <c r="R209" s="5">
        <f t="shared" si="27"/>
        <v>0</v>
      </c>
      <c r="S209" s="149">
        <f t="shared" si="28"/>
        <v>0</v>
      </c>
      <c r="T209" s="149">
        <f t="shared" si="29"/>
        <v>0</v>
      </c>
      <c r="U209" s="150">
        <f t="shared" si="30"/>
        <v>0</v>
      </c>
      <c r="V209" s="5" t="e">
        <f>VLOOKUP(A209,#REF!,7,FALSE)-C209</f>
        <v>#REF!</v>
      </c>
      <c r="W209" s="5" t="e">
        <f>SUMIF(#REF!,A209,#REF!)-C209</f>
        <v>#REF!</v>
      </c>
      <c r="X209" s="5"/>
      <c r="Y209" s="5"/>
      <c r="Z209" s="5"/>
      <c r="AA209" s="5"/>
      <c r="AB209" s="5"/>
      <c r="AC209" s="5"/>
      <c r="AD209" s="5"/>
      <c r="AE209" s="5"/>
      <c r="AF209" s="5"/>
      <c r="AG209" s="5"/>
      <c r="AH209" s="5"/>
      <c r="AI209" s="5"/>
      <c r="AJ209" s="5"/>
      <c r="AK209" s="5"/>
    </row>
    <row r="210" spans="1:37" ht="15" customHeight="1">
      <c r="A210" s="70" t="str">
        <f>IF(Download!B200="","",Download!B200)</f>
        <v>TR936</v>
      </c>
      <c r="B210" s="70" t="str">
        <f>IF(Download!C200="","",Download!C200)</f>
        <v>Barcelona Football Tour May '16</v>
      </c>
      <c r="C210" s="45">
        <f>Download!D200</f>
        <v>0</v>
      </c>
      <c r="D210" s="42">
        <f>Download!H200</f>
        <v>-20128.27</v>
      </c>
      <c r="E210" s="252"/>
      <c r="F210" s="29" t="str">
        <f t="shared" si="33"/>
        <v>-</v>
      </c>
      <c r="G210" s="39">
        <v>20128</v>
      </c>
      <c r="H210" s="39"/>
      <c r="I210" s="255"/>
      <c r="J210" s="47">
        <f t="shared" si="31"/>
        <v>0</v>
      </c>
      <c r="K210" s="37">
        <f t="shared" si="32"/>
        <v>0.27000000000043656</v>
      </c>
      <c r="L210" s="43">
        <f>IF(ISERROR(VLOOKUP(A210,'Workings Prior Month'!A:N,10,FALSE))=TRUE,0,(VLOOKUP(A210,'Workings Prior Month'!A:N,10,FALSE)))</f>
        <v>0</v>
      </c>
      <c r="M210" s="43">
        <f>IF(ISERROR(VLOOKUP(A210,'Workings Prior Month'!A:N,11,FALSE))=TRUE,0,(VLOOKUP(A210,'Workings Prior Month'!A:N,11,FALSE)))</f>
        <v>0</v>
      </c>
      <c r="N210" s="49">
        <f t="shared" si="35"/>
        <v>-0.27000000000043656</v>
      </c>
      <c r="O210" s="137">
        <f>IF(ISERROR(VLOOKUP(A210,'Cross ref Tab'!A:C,3,FALSE)=TRUE),9500,VLOOKUP(A210,'Cross ref Tab'!A:C,3,FALSE))</f>
        <v>4000</v>
      </c>
      <c r="P210" s="137">
        <f>IF(A210="","",COUNTIF('Cross ref Tab'!$A$3:$A$311,A210))</f>
        <v>1</v>
      </c>
      <c r="Q210" s="182">
        <f t="shared" si="34"/>
      </c>
      <c r="R210" s="5">
        <f t="shared" si="27"/>
        <v>0</v>
      </c>
      <c r="S210" s="149">
        <f t="shared" si="28"/>
        <v>0.27000000000043656</v>
      </c>
      <c r="T210" s="149">
        <f t="shared" si="29"/>
        <v>-0.27000000000043656</v>
      </c>
      <c r="U210" s="150">
        <f t="shared" si="30"/>
        <v>0</v>
      </c>
      <c r="V210" s="5" t="e">
        <f>VLOOKUP(A210,#REF!,7,FALSE)-C210</f>
        <v>#REF!</v>
      </c>
      <c r="W210" s="5" t="e">
        <f>SUMIF(#REF!,A210,#REF!)-C210</f>
        <v>#REF!</v>
      </c>
      <c r="X210" s="5"/>
      <c r="Y210" s="5"/>
      <c r="Z210" s="5"/>
      <c r="AA210" s="5"/>
      <c r="AB210" s="5"/>
      <c r="AC210" s="5"/>
      <c r="AD210" s="5"/>
      <c r="AE210" s="5"/>
      <c r="AF210" s="5"/>
      <c r="AG210" s="5"/>
      <c r="AH210" s="5"/>
      <c r="AI210" s="5"/>
      <c r="AJ210" s="5"/>
      <c r="AK210" s="5"/>
    </row>
    <row r="211" spans="1:37" ht="15" customHeight="1">
      <c r="A211" s="70" t="str">
        <f>IF(Download!B201="","",Download!B201)</f>
        <v>TR937</v>
      </c>
      <c r="B211" s="70" t="str">
        <f>IF(Download!C201="","",Download!C201)</f>
        <v>Yr 11 Prom 2016</v>
      </c>
      <c r="C211" s="45">
        <f>Download!D201</f>
        <v>0</v>
      </c>
      <c r="D211" s="42">
        <f>Download!H201</f>
        <v>2203.51</v>
      </c>
      <c r="E211" s="252"/>
      <c r="F211" s="29" t="str">
        <f t="shared" si="33"/>
        <v>-</v>
      </c>
      <c r="G211" s="39"/>
      <c r="H211" s="39">
        <v>2203.51</v>
      </c>
      <c r="I211" s="40"/>
      <c r="J211" s="47">
        <f t="shared" si="31"/>
        <v>0</v>
      </c>
      <c r="K211" s="37">
        <f t="shared" si="32"/>
        <v>0</v>
      </c>
      <c r="L211" s="43">
        <f>IF(ISERROR(VLOOKUP(A211,'Workings Prior Month'!A:N,10,FALSE))=TRUE,0,(VLOOKUP(A211,'Workings Prior Month'!A:N,10,FALSE)))</f>
        <v>0</v>
      </c>
      <c r="M211" s="43">
        <f>IF(ISERROR(VLOOKUP(A211,'Workings Prior Month'!A:N,11,FALSE))=TRUE,0,(VLOOKUP(A211,'Workings Prior Month'!A:N,11,FALSE)))</f>
        <v>0</v>
      </c>
      <c r="N211" s="49">
        <f t="shared" si="35"/>
        <v>0</v>
      </c>
      <c r="O211" s="137">
        <f>IF(ISERROR(VLOOKUP(A211,'Cross ref Tab'!A:C,3,FALSE)=TRUE),9500,VLOOKUP(A211,'Cross ref Tab'!A:C,3,FALSE))</f>
        <v>4000</v>
      </c>
      <c r="P211" s="137">
        <f>IF(A211="","",COUNTIF('Cross ref Tab'!$A$3:$A$311,A211))</f>
        <v>1</v>
      </c>
      <c r="Q211" s="182">
        <f t="shared" si="34"/>
      </c>
      <c r="R211" s="5">
        <f t="shared" si="27"/>
        <v>0</v>
      </c>
      <c r="S211" s="149">
        <f t="shared" si="28"/>
        <v>0</v>
      </c>
      <c r="T211" s="149">
        <f t="shared" si="29"/>
        <v>0</v>
      </c>
      <c r="U211" s="150">
        <f t="shared" si="30"/>
        <v>0</v>
      </c>
      <c r="V211" s="5" t="e">
        <f>VLOOKUP(A211,#REF!,7,FALSE)-C211</f>
        <v>#REF!</v>
      </c>
      <c r="W211" s="5" t="e">
        <f>SUMIF(#REF!,A211,#REF!)-C211</f>
        <v>#REF!</v>
      </c>
      <c r="X211" s="5"/>
      <c r="Y211" s="5"/>
      <c r="Z211" s="5"/>
      <c r="AA211" s="5"/>
      <c r="AB211" s="5"/>
      <c r="AC211" s="5"/>
      <c r="AD211" s="5"/>
      <c r="AE211" s="5"/>
      <c r="AF211" s="5"/>
      <c r="AG211" s="5"/>
      <c r="AH211" s="5"/>
      <c r="AI211" s="5"/>
      <c r="AJ211" s="5"/>
      <c r="AK211" s="5"/>
    </row>
    <row r="212" spans="1:37" ht="15" customHeight="1">
      <c r="A212" s="70" t="str">
        <f>IF(Download!B202="","",Download!B202)</f>
        <v>TR938</v>
      </c>
      <c r="B212" s="70" t="str">
        <f>IF(Download!C202="","",Download!C202)</f>
        <v>Higher Education Fair 01.07.15</v>
      </c>
      <c r="C212" s="45">
        <f>Download!D202</f>
        <v>0</v>
      </c>
      <c r="D212" s="42">
        <f>Download!H202</f>
        <v>0</v>
      </c>
      <c r="E212" s="252"/>
      <c r="F212" s="29" t="str">
        <f t="shared" si="33"/>
        <v>-</v>
      </c>
      <c r="G212" s="39"/>
      <c r="H212" s="39"/>
      <c r="I212" s="40"/>
      <c r="J212" s="47">
        <f t="shared" si="31"/>
        <v>0</v>
      </c>
      <c r="K212" s="37">
        <f t="shared" si="32"/>
        <v>0</v>
      </c>
      <c r="L212" s="43">
        <f>IF(ISERROR(VLOOKUP(A212,'Workings Prior Month'!A:N,10,FALSE))=TRUE,0,(VLOOKUP(A212,'Workings Prior Month'!A:N,10,FALSE)))</f>
        <v>0</v>
      </c>
      <c r="M212" s="43">
        <f>IF(ISERROR(VLOOKUP(A212,'Workings Prior Month'!A:N,11,FALSE))=TRUE,0,(VLOOKUP(A212,'Workings Prior Month'!A:N,11,FALSE)))</f>
        <v>0</v>
      </c>
      <c r="N212" s="49">
        <f t="shared" si="35"/>
        <v>0</v>
      </c>
      <c r="O212" s="137">
        <f>IF(ISERROR(VLOOKUP(A212,'Cross ref Tab'!A:C,3,FALSE)=TRUE),9500,VLOOKUP(A212,'Cross ref Tab'!A:C,3,FALSE))</f>
        <v>4000</v>
      </c>
      <c r="P212" s="137">
        <f>IF(A212="","",COUNTIF('Cross ref Tab'!$A$3:$A$311,A212))</f>
        <v>1</v>
      </c>
      <c r="Q212" s="182">
        <f t="shared" si="34"/>
      </c>
      <c r="R212" s="5">
        <f aca="true" t="shared" si="36" ref="R212:R220">+C212</f>
        <v>0</v>
      </c>
      <c r="S212" s="149">
        <f aca="true" t="shared" si="37" ref="S212:S220">+C212-J212+K212</f>
        <v>0</v>
      </c>
      <c r="T212" s="149">
        <f aca="true" t="shared" si="38" ref="T212:T220">+R212-S212</f>
        <v>0</v>
      </c>
      <c r="U212" s="150">
        <f aca="true" t="shared" si="39" ref="U212:U220">+T212-N212</f>
        <v>0</v>
      </c>
      <c r="V212" s="5" t="e">
        <f>VLOOKUP(A212,#REF!,7,FALSE)-C212</f>
        <v>#REF!</v>
      </c>
      <c r="W212" s="5" t="e">
        <f>SUMIF(#REF!,A212,#REF!)-C212</f>
        <v>#REF!</v>
      </c>
      <c r="X212" s="5"/>
      <c r="Y212" s="5"/>
      <c r="Z212" s="5"/>
      <c r="AA212" s="5"/>
      <c r="AB212" s="5"/>
      <c r="AC212" s="5"/>
      <c r="AD212" s="5"/>
      <c r="AE212" s="5"/>
      <c r="AF212" s="5"/>
      <c r="AG212" s="5"/>
      <c r="AH212" s="5"/>
      <c r="AI212" s="5"/>
      <c r="AJ212" s="5"/>
      <c r="AK212" s="5"/>
    </row>
    <row r="213" spans="1:37" ht="15" customHeight="1">
      <c r="A213" s="70" t="str">
        <f>IF(Download!B203="","",Download!B203)</f>
        <v>TR939</v>
      </c>
      <c r="B213" s="70" t="str">
        <f>IF(Download!C203="","",Download!C203)</f>
        <v>Football Academy Kit 2015</v>
      </c>
      <c r="C213" s="45">
        <f>Download!D203</f>
        <v>0</v>
      </c>
      <c r="D213" s="42">
        <f>Download!H203</f>
        <v>237.41</v>
      </c>
      <c r="E213" s="252"/>
      <c r="F213" s="29" t="str">
        <f t="shared" si="33"/>
        <v>-</v>
      </c>
      <c r="G213" s="39"/>
      <c r="H213" s="39">
        <v>237.41</v>
      </c>
      <c r="I213" s="255"/>
      <c r="J213" s="47">
        <f t="shared" si="31"/>
        <v>0</v>
      </c>
      <c r="K213" s="37">
        <f t="shared" si="32"/>
        <v>0</v>
      </c>
      <c r="L213" s="43">
        <f>IF(ISERROR(VLOOKUP(A213,'Workings Prior Month'!A:N,10,FALSE))=TRUE,0,(VLOOKUP(A213,'Workings Prior Month'!A:N,10,FALSE)))</f>
        <v>0</v>
      </c>
      <c r="M213" s="43">
        <f>IF(ISERROR(VLOOKUP(A213,'Workings Prior Month'!A:N,11,FALSE))=TRUE,0,(VLOOKUP(A213,'Workings Prior Month'!A:N,11,FALSE)))</f>
        <v>0</v>
      </c>
      <c r="N213" s="49">
        <f t="shared" si="35"/>
        <v>0</v>
      </c>
      <c r="O213" s="137">
        <f>IF(ISERROR(VLOOKUP(A213,'Cross ref Tab'!A:C,3,FALSE)=TRUE),9500,VLOOKUP(A213,'Cross ref Tab'!A:C,3,FALSE))</f>
        <v>4000</v>
      </c>
      <c r="P213" s="137">
        <f>IF(A213="","",COUNTIF('Cross ref Tab'!$A$3:$A$311,A213))</f>
        <v>1</v>
      </c>
      <c r="Q213" s="182">
        <f t="shared" si="34"/>
      </c>
      <c r="R213" s="5">
        <f t="shared" si="36"/>
        <v>0</v>
      </c>
      <c r="S213" s="149">
        <f t="shared" si="37"/>
        <v>0</v>
      </c>
      <c r="T213" s="149">
        <f t="shared" si="38"/>
        <v>0</v>
      </c>
      <c r="U213" s="150">
        <f t="shared" si="39"/>
        <v>0</v>
      </c>
      <c r="V213" s="5" t="e">
        <f>VLOOKUP(A213,#REF!,7,FALSE)-C213</f>
        <v>#REF!</v>
      </c>
      <c r="W213" s="5" t="e">
        <f>SUMIF(#REF!,A213,#REF!)-C213</f>
        <v>#REF!</v>
      </c>
      <c r="X213" s="5"/>
      <c r="Y213" s="5"/>
      <c r="Z213" s="5"/>
      <c r="AA213" s="5"/>
      <c r="AB213" s="5"/>
      <c r="AC213" s="5"/>
      <c r="AD213" s="5"/>
      <c r="AE213" s="5"/>
      <c r="AF213" s="5"/>
      <c r="AG213" s="5"/>
      <c r="AH213" s="5"/>
      <c r="AI213" s="5"/>
      <c r="AJ213" s="5"/>
      <c r="AK213" s="5"/>
    </row>
    <row r="214" spans="1:37" ht="15" customHeight="1">
      <c r="A214" s="70" t="str">
        <f>IF(Download!B204="","",Download!B204)</f>
        <v>TR940</v>
      </c>
      <c r="B214" s="70" t="str">
        <f>IF(Download!C204="","",Download!C204)</f>
        <v>Epping Forest Fld.Trip - 17.9.14</v>
      </c>
      <c r="C214" s="45">
        <f>Download!D204</f>
        <v>0</v>
      </c>
      <c r="D214" s="42">
        <f>Download!H204</f>
        <v>0</v>
      </c>
      <c r="E214" s="252"/>
      <c r="F214" s="29" t="str">
        <f t="shared" si="33"/>
        <v>-</v>
      </c>
      <c r="G214" s="39"/>
      <c r="H214" s="39"/>
      <c r="I214" s="255"/>
      <c r="J214" s="47">
        <f t="shared" si="31"/>
        <v>0</v>
      </c>
      <c r="K214" s="37">
        <f t="shared" si="32"/>
        <v>0</v>
      </c>
      <c r="L214" s="43">
        <f>IF(ISERROR(VLOOKUP(A214,'Workings Prior Month'!A:N,10,FALSE))=TRUE,0,(VLOOKUP(A214,'Workings Prior Month'!A:N,10,FALSE)))</f>
        <v>0</v>
      </c>
      <c r="M214" s="43">
        <f>IF(ISERROR(VLOOKUP(A214,'Workings Prior Month'!A:N,11,FALSE))=TRUE,0,(VLOOKUP(A214,'Workings Prior Month'!A:N,11,FALSE)))</f>
        <v>0</v>
      </c>
      <c r="N214" s="49">
        <f t="shared" si="35"/>
        <v>0</v>
      </c>
      <c r="O214" s="137">
        <f>IF(ISERROR(VLOOKUP(A214,'Cross ref Tab'!A:C,3,FALSE)=TRUE),9500,VLOOKUP(A214,'Cross ref Tab'!A:C,3,FALSE))</f>
        <v>4000</v>
      </c>
      <c r="P214" s="137">
        <f>IF(A214="","",COUNTIF('Cross ref Tab'!$A$3:$A$311,A214))</f>
        <v>1</v>
      </c>
      <c r="Q214" s="182">
        <f t="shared" si="34"/>
      </c>
      <c r="R214" s="5">
        <f t="shared" si="36"/>
        <v>0</v>
      </c>
      <c r="S214" s="149">
        <f t="shared" si="37"/>
        <v>0</v>
      </c>
      <c r="T214" s="149">
        <f t="shared" si="38"/>
        <v>0</v>
      </c>
      <c r="U214" s="150">
        <f t="shared" si="39"/>
        <v>0</v>
      </c>
      <c r="V214" s="5" t="e">
        <f>VLOOKUP(A214,#REF!,7,FALSE)-C214</f>
        <v>#REF!</v>
      </c>
      <c r="W214" s="5" t="e">
        <f>SUMIF(#REF!,A214,#REF!)-C214</f>
        <v>#REF!</v>
      </c>
      <c r="X214" s="5"/>
      <c r="Y214" s="5"/>
      <c r="Z214" s="5"/>
      <c r="AA214" s="5"/>
      <c r="AB214" s="5"/>
      <c r="AC214" s="5"/>
      <c r="AD214" s="5"/>
      <c r="AE214" s="5"/>
      <c r="AF214" s="5"/>
      <c r="AG214" s="5"/>
      <c r="AH214" s="5"/>
      <c r="AI214" s="5"/>
      <c r="AJ214" s="5"/>
      <c r="AK214" s="5"/>
    </row>
    <row r="215" spans="1:37" ht="15" customHeight="1">
      <c r="A215" s="70" t="str">
        <f>IF(Download!B205="","",Download!B205)</f>
        <v>TR941</v>
      </c>
      <c r="B215" s="70" t="str">
        <f>IF(Download!C205="","",Download!C205)</f>
        <v>Eastbourne Cricket Tour May '16</v>
      </c>
      <c r="C215" s="45">
        <f>Download!D205</f>
        <v>0</v>
      </c>
      <c r="D215" s="42">
        <f>Download!H205</f>
        <v>0</v>
      </c>
      <c r="E215" s="252"/>
      <c r="F215" s="29" t="str">
        <f t="shared" si="33"/>
        <v>-</v>
      </c>
      <c r="G215" s="39"/>
      <c r="H215" s="39"/>
      <c r="I215" s="40"/>
      <c r="J215" s="47">
        <f t="shared" si="31"/>
        <v>0</v>
      </c>
      <c r="K215" s="37">
        <f t="shared" si="32"/>
        <v>0</v>
      </c>
      <c r="L215" s="43">
        <f>IF(ISERROR(VLOOKUP(A215,'Workings Prior Month'!A:N,10,FALSE))=TRUE,0,(VLOOKUP(A215,'Workings Prior Month'!A:N,10,FALSE)))</f>
        <v>0</v>
      </c>
      <c r="M215" s="43">
        <f>IF(ISERROR(VLOOKUP(A215,'Workings Prior Month'!A:N,11,FALSE))=TRUE,0,(VLOOKUP(A215,'Workings Prior Month'!A:N,11,FALSE)))</f>
        <v>0</v>
      </c>
      <c r="N215" s="49">
        <f t="shared" si="35"/>
        <v>0</v>
      </c>
      <c r="O215" s="137">
        <f>IF(ISERROR(VLOOKUP(A215,'Cross ref Tab'!A:C,3,FALSE)=TRUE),9500,VLOOKUP(A215,'Cross ref Tab'!A:C,3,FALSE))</f>
        <v>4000</v>
      </c>
      <c r="P215" s="137">
        <f>IF(A215="","",COUNTIF('Cross ref Tab'!$A$3:$A$311,A215))</f>
        <v>1</v>
      </c>
      <c r="Q215" s="182">
        <f t="shared" si="34"/>
      </c>
      <c r="R215" s="5">
        <f t="shared" si="36"/>
        <v>0</v>
      </c>
      <c r="S215" s="149">
        <f t="shared" si="37"/>
        <v>0</v>
      </c>
      <c r="T215" s="149">
        <f t="shared" si="38"/>
        <v>0</v>
      </c>
      <c r="U215" s="150">
        <f t="shared" si="39"/>
        <v>0</v>
      </c>
      <c r="V215" s="5" t="e">
        <f>VLOOKUP(A215,#REF!,7,FALSE)-C215</f>
        <v>#REF!</v>
      </c>
      <c r="W215" s="5" t="e">
        <f>SUMIF(#REF!,A215,#REF!)-C215</f>
        <v>#REF!</v>
      </c>
      <c r="X215" s="5"/>
      <c r="Y215" s="5"/>
      <c r="Z215" s="5"/>
      <c r="AA215" s="5"/>
      <c r="AB215" s="5"/>
      <c r="AC215" s="5"/>
      <c r="AD215" s="5"/>
      <c r="AE215" s="5"/>
      <c r="AF215" s="5"/>
      <c r="AG215" s="5"/>
      <c r="AH215" s="5"/>
      <c r="AI215" s="5"/>
      <c r="AJ215" s="5"/>
      <c r="AK215" s="5"/>
    </row>
    <row r="216" spans="1:37" ht="15" customHeight="1">
      <c r="A216" s="70" t="str">
        <f>IF(Download!B206="","",Download!B206)</f>
        <v>TR942</v>
      </c>
      <c r="B216" s="70" t="str">
        <f>IF(Download!C206="","",Download!C206)</f>
        <v>Metamorphosis - 15.10.15</v>
      </c>
      <c r="C216" s="45">
        <f>Download!D206</f>
        <v>0</v>
      </c>
      <c r="D216" s="42">
        <f>Download!H206</f>
        <v>0</v>
      </c>
      <c r="E216" s="252"/>
      <c r="F216" s="29" t="str">
        <f t="shared" si="33"/>
        <v>-</v>
      </c>
      <c r="G216" s="39"/>
      <c r="H216" s="39"/>
      <c r="I216" s="40"/>
      <c r="J216" s="47">
        <f t="shared" si="31"/>
        <v>0</v>
      </c>
      <c r="K216" s="37">
        <f t="shared" si="32"/>
        <v>0</v>
      </c>
      <c r="L216" s="43">
        <f>IF(ISERROR(VLOOKUP(A216,'Workings Prior Month'!A:N,10,FALSE))=TRUE,0,(VLOOKUP(A216,'Workings Prior Month'!A:N,10,FALSE)))</f>
        <v>0</v>
      </c>
      <c r="M216" s="43">
        <f>IF(ISERROR(VLOOKUP(A216,'Workings Prior Month'!A:N,11,FALSE))=TRUE,0,(VLOOKUP(A216,'Workings Prior Month'!A:N,11,FALSE)))</f>
        <v>0</v>
      </c>
      <c r="N216" s="49">
        <f t="shared" si="35"/>
        <v>0</v>
      </c>
      <c r="O216" s="137">
        <f>IF(ISERROR(VLOOKUP(A216,'Cross ref Tab'!A:C,3,FALSE)=TRUE),9500,VLOOKUP(A216,'Cross ref Tab'!A:C,3,FALSE))</f>
        <v>4000</v>
      </c>
      <c r="P216" s="137">
        <f>IF(A216="","",COUNTIF('Cross ref Tab'!$A$3:$A$311,A216))</f>
        <v>1</v>
      </c>
      <c r="Q216" s="182">
        <f t="shared" si="34"/>
      </c>
      <c r="R216" s="5">
        <f t="shared" si="36"/>
        <v>0</v>
      </c>
      <c r="S216" s="149">
        <f t="shared" si="37"/>
        <v>0</v>
      </c>
      <c r="T216" s="149">
        <f t="shared" si="38"/>
        <v>0</v>
      </c>
      <c r="U216" s="150">
        <f t="shared" si="39"/>
        <v>0</v>
      </c>
      <c r="V216" s="5" t="e">
        <f>VLOOKUP(A216,#REF!,7,FALSE)-C216</f>
        <v>#REF!</v>
      </c>
      <c r="W216" s="5" t="e">
        <f>SUMIF(#REF!,A216,#REF!)-C216</f>
        <v>#REF!</v>
      </c>
      <c r="X216" s="5"/>
      <c r="Y216" s="5"/>
      <c r="Z216" s="5"/>
      <c r="AA216" s="5"/>
      <c r="AB216" s="5"/>
      <c r="AC216" s="5"/>
      <c r="AD216" s="5"/>
      <c r="AE216" s="5"/>
      <c r="AF216" s="5"/>
      <c r="AG216" s="5"/>
      <c r="AH216" s="5"/>
      <c r="AI216" s="5"/>
      <c r="AJ216" s="5"/>
      <c r="AK216" s="5"/>
    </row>
    <row r="217" spans="1:37" ht="15" customHeight="1">
      <c r="A217" s="70" t="str">
        <f>IF(Download!B207="","",Download!B207)</f>
        <v>TR944</v>
      </c>
      <c r="B217" s="70" t="str">
        <f>IF(Download!C207="","",Download!C207)</f>
        <v>Essex Roadster 2015</v>
      </c>
      <c r="C217" s="45">
        <f>Download!D207</f>
        <v>0</v>
      </c>
      <c r="D217" s="42">
        <f>Download!H207</f>
        <v>0</v>
      </c>
      <c r="E217" s="252"/>
      <c r="F217" s="29" t="str">
        <f t="shared" si="33"/>
        <v>-</v>
      </c>
      <c r="G217" s="39"/>
      <c r="H217" s="39"/>
      <c r="I217" s="40"/>
      <c r="J217" s="47">
        <f t="shared" si="31"/>
        <v>0</v>
      </c>
      <c r="K217" s="37">
        <f t="shared" si="32"/>
        <v>0</v>
      </c>
      <c r="L217" s="43">
        <f>IF(ISERROR(VLOOKUP(A217,'Workings Prior Month'!A:N,10,FALSE))=TRUE,0,(VLOOKUP(A217,'Workings Prior Month'!A:N,10,FALSE)))</f>
        <v>89.7</v>
      </c>
      <c r="M217" s="43">
        <f>IF(ISERROR(VLOOKUP(A217,'Workings Prior Month'!A:N,11,FALSE))=TRUE,0,(VLOOKUP(A217,'Workings Prior Month'!A:N,11,FALSE)))</f>
        <v>0</v>
      </c>
      <c r="N217" s="49">
        <f t="shared" si="35"/>
        <v>-89.7</v>
      </c>
      <c r="O217" s="137">
        <f>IF(ISERROR(VLOOKUP(A217,'Cross ref Tab'!A:C,3,FALSE)=TRUE),9500,VLOOKUP(A217,'Cross ref Tab'!A:C,3,FALSE))</f>
        <v>4000</v>
      </c>
      <c r="P217" s="137">
        <f>IF(A217="","",COUNTIF('Cross ref Tab'!$A$3:$A$311,A217))</f>
        <v>1</v>
      </c>
      <c r="Q217" s="182">
        <f t="shared" si="34"/>
      </c>
      <c r="R217" s="5">
        <f t="shared" si="36"/>
        <v>0</v>
      </c>
      <c r="S217" s="149">
        <f t="shared" si="37"/>
        <v>0</v>
      </c>
      <c r="T217" s="149">
        <f t="shared" si="38"/>
        <v>0</v>
      </c>
      <c r="U217" s="150">
        <f t="shared" si="39"/>
        <v>89.7</v>
      </c>
      <c r="V217" s="5" t="e">
        <f>VLOOKUP(A217,#REF!,7,FALSE)-C217</f>
        <v>#REF!</v>
      </c>
      <c r="W217" s="5" t="e">
        <f>SUMIF(#REF!,A217,#REF!)-C217</f>
        <v>#REF!</v>
      </c>
      <c r="X217" s="5"/>
      <c r="Y217" s="5"/>
      <c r="Z217" s="5"/>
      <c r="AA217" s="5"/>
      <c r="AB217" s="5"/>
      <c r="AC217" s="5"/>
      <c r="AD217" s="5"/>
      <c r="AE217" s="5"/>
      <c r="AF217" s="5"/>
      <c r="AG217" s="5"/>
      <c r="AH217" s="5"/>
      <c r="AI217" s="5"/>
      <c r="AJ217" s="5"/>
      <c r="AK217" s="5"/>
    </row>
    <row r="218" spans="1:37" ht="15" customHeight="1">
      <c r="A218" s="70" t="str">
        <f>IF(Download!B208="","",Download!B208)</f>
        <v>TR945</v>
      </c>
      <c r="B218" s="70" t="str">
        <f>IF(Download!C208="","",Download!C208)</f>
        <v>Thorpe Park - 20.7.15</v>
      </c>
      <c r="C218" s="45">
        <f>Download!D208</f>
        <v>0</v>
      </c>
      <c r="D218" s="42">
        <f>Download!H208</f>
        <v>0</v>
      </c>
      <c r="E218" s="252"/>
      <c r="F218" s="29" t="str">
        <f t="shared" si="33"/>
        <v>-</v>
      </c>
      <c r="G218" s="39"/>
      <c r="H218" s="39"/>
      <c r="I218" s="40"/>
      <c r="J218" s="47">
        <f t="shared" si="31"/>
        <v>0</v>
      </c>
      <c r="K218" s="37">
        <f t="shared" si="32"/>
        <v>0</v>
      </c>
      <c r="L218" s="43">
        <f>IF(ISERROR(VLOOKUP(A218,'Workings Prior Month'!A:N,10,FALSE))=TRUE,0,(VLOOKUP(A218,'Workings Prior Month'!A:N,10,FALSE)))</f>
        <v>0</v>
      </c>
      <c r="M218" s="43">
        <f>IF(ISERROR(VLOOKUP(A218,'Workings Prior Month'!A:N,11,FALSE))=TRUE,0,(VLOOKUP(A218,'Workings Prior Month'!A:N,11,FALSE)))</f>
        <v>0</v>
      </c>
      <c r="N218" s="49">
        <f t="shared" si="35"/>
        <v>0</v>
      </c>
      <c r="O218" s="137">
        <f>IF(ISERROR(VLOOKUP(A218,'Cross ref Tab'!A:C,3,FALSE)=TRUE),9500,VLOOKUP(A218,'Cross ref Tab'!A:C,3,FALSE))</f>
        <v>4000</v>
      </c>
      <c r="P218" s="137">
        <f>IF(A218="","",COUNTIF('Cross ref Tab'!$A$3:$A$311,A218))</f>
        <v>1</v>
      </c>
      <c r="Q218" s="182">
        <f t="shared" si="34"/>
      </c>
      <c r="R218" s="5">
        <f t="shared" si="36"/>
        <v>0</v>
      </c>
      <c r="S218" s="149">
        <f t="shared" si="37"/>
        <v>0</v>
      </c>
      <c r="T218" s="149">
        <f t="shared" si="38"/>
        <v>0</v>
      </c>
      <c r="U218" s="150">
        <f t="shared" si="39"/>
        <v>0</v>
      </c>
      <c r="V218" s="5" t="e">
        <f>VLOOKUP(A218,#REF!,7,FALSE)-C218</f>
        <v>#REF!</v>
      </c>
      <c r="W218" s="5" t="e">
        <f>SUMIF(#REF!,A218,#REF!)-C218</f>
        <v>#REF!</v>
      </c>
      <c r="X218" s="5"/>
      <c r="Y218" s="5"/>
      <c r="Z218" s="5"/>
      <c r="AA218" s="5"/>
      <c r="AB218" s="5"/>
      <c r="AC218" s="5"/>
      <c r="AD218" s="5"/>
      <c r="AE218" s="5"/>
      <c r="AF218" s="5"/>
      <c r="AG218" s="5"/>
      <c r="AH218" s="5"/>
      <c r="AI218" s="5"/>
      <c r="AJ218" s="5"/>
      <c r="AK218" s="5"/>
    </row>
    <row r="219" spans="1:37" ht="15" customHeight="1">
      <c r="A219" s="70" t="str">
        <f>IF(Download!B209="","",Download!B209)</f>
        <v>TR946</v>
      </c>
      <c r="B219" s="70" t="str">
        <f>IF(Download!C209="","",Download!C209)</f>
        <v>The Curious Incident-29.09.14</v>
      </c>
      <c r="C219" s="45">
        <f>Download!D209</f>
        <v>0</v>
      </c>
      <c r="D219" s="42">
        <f>Download!H209</f>
        <v>0</v>
      </c>
      <c r="E219" s="252"/>
      <c r="F219" s="29" t="str">
        <f t="shared" si="33"/>
        <v>-</v>
      </c>
      <c r="G219" s="39"/>
      <c r="H219" s="39"/>
      <c r="I219" s="40"/>
      <c r="J219" s="47">
        <f t="shared" si="31"/>
        <v>0</v>
      </c>
      <c r="K219" s="37">
        <f t="shared" si="32"/>
        <v>0</v>
      </c>
      <c r="L219" s="43">
        <f>IF(ISERROR(VLOOKUP(A219,'Workings Prior Month'!A:N,10,FALSE))=TRUE,0,(VLOOKUP(A219,'Workings Prior Month'!A:N,10,FALSE)))</f>
        <v>0</v>
      </c>
      <c r="M219" s="43">
        <f>IF(ISERROR(VLOOKUP(A219,'Workings Prior Month'!A:N,11,FALSE))=TRUE,0,(VLOOKUP(A219,'Workings Prior Month'!A:N,11,FALSE)))</f>
        <v>0</v>
      </c>
      <c r="N219" s="49">
        <f t="shared" si="35"/>
        <v>0</v>
      </c>
      <c r="O219" s="137">
        <f>IF(ISERROR(VLOOKUP(A219,'Cross ref Tab'!A:C,3,FALSE)=TRUE),9500,VLOOKUP(A219,'Cross ref Tab'!A:C,3,FALSE))</f>
        <v>4000</v>
      </c>
      <c r="P219" s="137">
        <f>IF(A219="","",COUNTIF('Cross ref Tab'!$A$3:$A$311,A219))</f>
        <v>1</v>
      </c>
      <c r="Q219" s="182">
        <f t="shared" si="34"/>
      </c>
      <c r="R219" s="5">
        <f t="shared" si="36"/>
        <v>0</v>
      </c>
      <c r="S219" s="149">
        <f t="shared" si="37"/>
        <v>0</v>
      </c>
      <c r="T219" s="149">
        <f t="shared" si="38"/>
        <v>0</v>
      </c>
      <c r="U219" s="150">
        <f t="shared" si="39"/>
        <v>0</v>
      </c>
      <c r="V219" s="5" t="e">
        <f>VLOOKUP(A219,#REF!,7,FALSE)-C219</f>
        <v>#REF!</v>
      </c>
      <c r="W219" s="5" t="e">
        <f>SUMIF(#REF!,A219,#REF!)-C219</f>
        <v>#REF!</v>
      </c>
      <c r="X219" s="5"/>
      <c r="Y219" s="5"/>
      <c r="Z219" s="5"/>
      <c r="AA219" s="5"/>
      <c r="AB219" s="5"/>
      <c r="AC219" s="5"/>
      <c r="AD219" s="5"/>
      <c r="AE219" s="5"/>
      <c r="AF219" s="5"/>
      <c r="AG219" s="5"/>
      <c r="AH219" s="5"/>
      <c r="AI219" s="5"/>
      <c r="AJ219" s="5"/>
      <c r="AK219" s="5"/>
    </row>
    <row r="220" spans="1:37" ht="15" customHeight="1">
      <c r="A220" s="70" t="str">
        <f>IF(Download!B210="","",Download!B210)</f>
        <v>TR947</v>
      </c>
      <c r="B220" s="70" t="str">
        <f>IF(Download!C210="","",Download!C210)</f>
        <v>Year 11 Prom - 02.07.15</v>
      </c>
      <c r="C220" s="45">
        <f>Download!D210</f>
        <v>0</v>
      </c>
      <c r="D220" s="42">
        <f>Download!H210</f>
        <v>0</v>
      </c>
      <c r="E220" s="252"/>
      <c r="F220" s="29" t="str">
        <f t="shared" si="33"/>
        <v>-</v>
      </c>
      <c r="G220" s="39"/>
      <c r="H220" s="39"/>
      <c r="I220" s="40"/>
      <c r="J220" s="47">
        <f t="shared" si="31"/>
        <v>0</v>
      </c>
      <c r="K220" s="37">
        <f t="shared" si="32"/>
        <v>0</v>
      </c>
      <c r="L220" s="43">
        <f>IF(ISERROR(VLOOKUP(A220,'Workings Prior Month'!A:N,10,FALSE))=TRUE,0,(VLOOKUP(A220,'Workings Prior Month'!A:N,10,FALSE)))</f>
        <v>0</v>
      </c>
      <c r="M220" s="43">
        <f>IF(ISERROR(VLOOKUP(A220,'Workings Prior Month'!A:N,11,FALSE))=TRUE,0,(VLOOKUP(A220,'Workings Prior Month'!A:N,11,FALSE)))</f>
        <v>0</v>
      </c>
      <c r="N220" s="49">
        <f t="shared" si="35"/>
        <v>0</v>
      </c>
      <c r="O220" s="137">
        <f>IF(ISERROR(VLOOKUP(A220,'Cross ref Tab'!A:C,3,FALSE)=TRUE),9500,VLOOKUP(A220,'Cross ref Tab'!A:C,3,FALSE))</f>
        <v>4000</v>
      </c>
      <c r="P220" s="137">
        <f>IF(A220="","",COUNTIF('Cross ref Tab'!$A$3:$A$311,A220))</f>
        <v>1</v>
      </c>
      <c r="Q220" s="182">
        <f t="shared" si="34"/>
      </c>
      <c r="R220" s="5">
        <f t="shared" si="36"/>
        <v>0</v>
      </c>
      <c r="S220" s="149">
        <f t="shared" si="37"/>
        <v>0</v>
      </c>
      <c r="T220" s="149">
        <f t="shared" si="38"/>
        <v>0</v>
      </c>
      <c r="U220" s="150">
        <f t="shared" si="39"/>
        <v>0</v>
      </c>
      <c r="V220" s="5" t="e">
        <f>VLOOKUP(A220,#REF!,7,FALSE)-C220</f>
        <v>#REF!</v>
      </c>
      <c r="W220" s="5" t="e">
        <f>SUMIF(#REF!,A220,#REF!)-C220</f>
        <v>#REF!</v>
      </c>
      <c r="X220" s="5"/>
      <c r="Y220" s="5"/>
      <c r="Z220" s="5"/>
      <c r="AA220" s="5"/>
      <c r="AB220" s="5"/>
      <c r="AC220" s="5"/>
      <c r="AD220" s="5"/>
      <c r="AE220" s="5"/>
      <c r="AF220" s="5"/>
      <c r="AG220" s="5"/>
      <c r="AH220" s="5"/>
      <c r="AI220" s="5"/>
      <c r="AJ220" s="5"/>
      <c r="AK220" s="5"/>
    </row>
    <row r="221" spans="1:37" ht="15" customHeight="1">
      <c r="A221" s="70" t="str">
        <f>IF(Download!B211="","",Download!B211)</f>
        <v>TR948</v>
      </c>
      <c r="B221" s="70" t="str">
        <f>IF(Download!C211="","",Download!C211)</f>
        <v>OCR AS Chemistry Textbook</v>
      </c>
      <c r="C221" s="45">
        <f>Download!D211</f>
        <v>0</v>
      </c>
      <c r="D221" s="42">
        <f>Download!H211</f>
        <v>26.05</v>
      </c>
      <c r="E221" s="252"/>
      <c r="F221" s="29" t="str">
        <f aca="true" t="shared" si="40" ref="F221:F284">IF(C221=0,"-",(C221-D221)/C221)</f>
        <v>-</v>
      </c>
      <c r="G221" s="39"/>
      <c r="H221" s="39">
        <v>26.05</v>
      </c>
      <c r="I221" s="255"/>
      <c r="J221" s="47">
        <f aca="true" t="shared" si="41" ref="J221:J284">IF(D221+G221-H221&gt;0,D221+G221-H221,0)</f>
        <v>0</v>
      </c>
      <c r="K221" s="37">
        <f aca="true" t="shared" si="42" ref="K221:K284">IF(D221+G221-H221&lt;=0,-D221-G221+H221,0)</f>
        <v>0</v>
      </c>
      <c r="L221" s="43">
        <f>IF(ISERROR(VLOOKUP(A221,'Workings Prior Month'!A:N,10,FALSE))=TRUE,0,(VLOOKUP(A221,'Workings Prior Month'!A:N,10,FALSE)))</f>
        <v>0</v>
      </c>
      <c r="M221" s="43">
        <f>IF(ISERROR(VLOOKUP(A221,'Workings Prior Month'!A:N,11,FALSE))=TRUE,0,(VLOOKUP(A221,'Workings Prior Month'!A:N,11,FALSE)))</f>
        <v>0</v>
      </c>
      <c r="N221" s="49">
        <f aca="true" t="shared" si="43" ref="N221:N284">M221-L221-K221+J221</f>
        <v>0</v>
      </c>
      <c r="O221" s="137">
        <f>IF(ISERROR(VLOOKUP(A221,'Cross ref Tab'!A:C,3,FALSE)=TRUE),9500,VLOOKUP(A221,'Cross ref Tab'!A:C,3,FALSE))</f>
        <v>1600</v>
      </c>
      <c r="P221" s="137">
        <f>IF(A221="","",COUNTIF('Cross ref Tab'!$A$3:$A$311,A221))</f>
        <v>1</v>
      </c>
      <c r="Q221" s="182">
        <f aca="true" t="shared" si="44" ref="Q221:Q284">IF(O221=9500,+" XREF Code Required","")</f>
      </c>
      <c r="R221" s="5">
        <f aca="true" t="shared" si="45" ref="R221:R284">+C221</f>
        <v>0</v>
      </c>
      <c r="S221" s="149">
        <f aca="true" t="shared" si="46" ref="S221:S284">+C221-J221+K221</f>
        <v>0</v>
      </c>
      <c r="T221" s="149">
        <f aca="true" t="shared" si="47" ref="T221:T284">+R221-S221</f>
        <v>0</v>
      </c>
      <c r="U221" s="150">
        <f aca="true" t="shared" si="48" ref="U221:U284">+T221-N221</f>
        <v>0</v>
      </c>
      <c r="V221" s="5" t="e">
        <f>VLOOKUP(A221,#REF!,7,FALSE)-C221</f>
        <v>#REF!</v>
      </c>
      <c r="W221" s="5" t="e">
        <f>SUMIF(#REF!,A221,#REF!)-C221</f>
        <v>#REF!</v>
      </c>
      <c r="X221" s="5"/>
      <c r="Y221" s="5"/>
      <c r="Z221" s="5"/>
      <c r="AA221" s="5"/>
      <c r="AB221" s="5"/>
      <c r="AC221" s="5"/>
      <c r="AD221" s="5"/>
      <c r="AE221" s="5"/>
      <c r="AF221" s="5"/>
      <c r="AG221" s="5"/>
      <c r="AH221" s="5"/>
      <c r="AI221" s="5"/>
      <c r="AJ221" s="5"/>
      <c r="AK221" s="5"/>
    </row>
    <row r="222" spans="1:37" ht="15" customHeight="1">
      <c r="A222" s="70" t="str">
        <f>IF(Download!B212="","",Download!B212)</f>
        <v>TR949</v>
      </c>
      <c r="B222" s="70" t="str">
        <f>IF(Download!C212="","",Download!C212)</f>
        <v>Ghost Stories - 16.10.14</v>
      </c>
      <c r="C222" s="45">
        <f>Download!D212</f>
        <v>0</v>
      </c>
      <c r="D222" s="42">
        <f>Download!H212</f>
        <v>0</v>
      </c>
      <c r="E222" s="252"/>
      <c r="F222" s="29" t="str">
        <f t="shared" si="40"/>
        <v>-</v>
      </c>
      <c r="G222" s="39"/>
      <c r="H222" s="39"/>
      <c r="I222" s="255"/>
      <c r="J222" s="47">
        <f t="shared" si="41"/>
        <v>0</v>
      </c>
      <c r="K222" s="37">
        <f t="shared" si="42"/>
        <v>0</v>
      </c>
      <c r="L222" s="43">
        <f>IF(ISERROR(VLOOKUP(A222,'Workings Prior Month'!A:N,10,FALSE))=TRUE,0,(VLOOKUP(A222,'Workings Prior Month'!A:N,10,FALSE)))</f>
        <v>0</v>
      </c>
      <c r="M222" s="43">
        <f>IF(ISERROR(VLOOKUP(A222,'Workings Prior Month'!A:N,11,FALSE))=TRUE,0,(VLOOKUP(A222,'Workings Prior Month'!A:N,11,FALSE)))</f>
        <v>0</v>
      </c>
      <c r="N222" s="49">
        <f t="shared" si="43"/>
        <v>0</v>
      </c>
      <c r="O222" s="137">
        <f>IF(ISERROR(VLOOKUP(A222,'Cross ref Tab'!A:C,3,FALSE)=TRUE),9500,VLOOKUP(A222,'Cross ref Tab'!A:C,3,FALSE))</f>
        <v>4000</v>
      </c>
      <c r="P222" s="137">
        <f>IF(A222="","",COUNTIF('Cross ref Tab'!$A$3:$A$311,A222))</f>
        <v>1</v>
      </c>
      <c r="Q222" s="182">
        <f t="shared" si="44"/>
      </c>
      <c r="R222" s="5">
        <f t="shared" si="45"/>
        <v>0</v>
      </c>
      <c r="S222" s="149">
        <f t="shared" si="46"/>
        <v>0</v>
      </c>
      <c r="T222" s="149">
        <f t="shared" si="47"/>
        <v>0</v>
      </c>
      <c r="U222" s="150">
        <f t="shared" si="48"/>
        <v>0</v>
      </c>
      <c r="V222" s="5" t="e">
        <f>VLOOKUP(A222,#REF!,7,FALSE)-C222</f>
        <v>#REF!</v>
      </c>
      <c r="W222" s="5" t="e">
        <f>SUMIF(#REF!,A222,#REF!)-C222</f>
        <v>#REF!</v>
      </c>
      <c r="X222" s="5"/>
      <c r="Y222" s="5"/>
      <c r="Z222" s="5"/>
      <c r="AA222" s="5"/>
      <c r="AB222" s="5"/>
      <c r="AC222" s="5"/>
      <c r="AD222" s="5"/>
      <c r="AE222" s="5"/>
      <c r="AF222" s="5"/>
      <c r="AG222" s="5"/>
      <c r="AH222" s="5"/>
      <c r="AI222" s="5"/>
      <c r="AJ222" s="5"/>
      <c r="AK222" s="5"/>
    </row>
    <row r="223" spans="1:37" ht="15" customHeight="1">
      <c r="A223" s="70" t="str">
        <f>IF(Download!B213="","",Download!B213)</f>
        <v>TR950</v>
      </c>
      <c r="B223" s="70" t="str">
        <f>IF(Download!C213="","",Download!C213)</f>
        <v>Royal Soc. of Chemistry -9.10.14</v>
      </c>
      <c r="C223" s="45">
        <f>Download!D213</f>
        <v>0</v>
      </c>
      <c r="D223" s="42">
        <f>Download!H213</f>
        <v>0</v>
      </c>
      <c r="E223" s="252"/>
      <c r="F223" s="29" t="str">
        <f t="shared" si="40"/>
        <v>-</v>
      </c>
      <c r="G223" s="39"/>
      <c r="H223" s="39"/>
      <c r="I223" s="40"/>
      <c r="J223" s="47">
        <f t="shared" si="41"/>
        <v>0</v>
      </c>
      <c r="K223" s="37">
        <f t="shared" si="42"/>
        <v>0</v>
      </c>
      <c r="L223" s="43">
        <f>IF(ISERROR(VLOOKUP(A223,'Workings Prior Month'!A:N,10,FALSE))=TRUE,0,(VLOOKUP(A223,'Workings Prior Month'!A:N,10,FALSE)))</f>
        <v>0</v>
      </c>
      <c r="M223" s="43">
        <f>IF(ISERROR(VLOOKUP(A223,'Workings Prior Month'!A:N,11,FALSE))=TRUE,0,(VLOOKUP(A223,'Workings Prior Month'!A:N,11,FALSE)))</f>
        <v>0</v>
      </c>
      <c r="N223" s="49">
        <f t="shared" si="43"/>
        <v>0</v>
      </c>
      <c r="O223" s="137">
        <f>IF(ISERROR(VLOOKUP(A223,'Cross ref Tab'!A:C,3,FALSE)=TRUE),9500,VLOOKUP(A223,'Cross ref Tab'!A:C,3,FALSE))</f>
        <v>4000</v>
      </c>
      <c r="P223" s="137">
        <f>IF(A223="","",COUNTIF('Cross ref Tab'!$A$3:$A$311,A223))</f>
        <v>1</v>
      </c>
      <c r="Q223" s="182">
        <f t="shared" si="44"/>
      </c>
      <c r="R223" s="5">
        <f t="shared" si="45"/>
        <v>0</v>
      </c>
      <c r="S223" s="149">
        <f t="shared" si="46"/>
        <v>0</v>
      </c>
      <c r="T223" s="149">
        <f t="shared" si="47"/>
        <v>0</v>
      </c>
      <c r="U223" s="150">
        <f t="shared" si="48"/>
        <v>0</v>
      </c>
      <c r="V223" s="5" t="e">
        <f>VLOOKUP(A223,#REF!,7,FALSE)-C223</f>
        <v>#REF!</v>
      </c>
      <c r="W223" s="5" t="e">
        <f>SUMIF(#REF!,A223,#REF!)-C223</f>
        <v>#REF!</v>
      </c>
      <c r="X223" s="5"/>
      <c r="Y223" s="5"/>
      <c r="Z223" s="5"/>
      <c r="AA223" s="5"/>
      <c r="AB223" s="5"/>
      <c r="AC223" s="5"/>
      <c r="AD223" s="5"/>
      <c r="AE223" s="5"/>
      <c r="AF223" s="5"/>
      <c r="AG223" s="5"/>
      <c r="AH223" s="5"/>
      <c r="AI223" s="5"/>
      <c r="AJ223" s="5"/>
      <c r="AK223" s="5"/>
    </row>
    <row r="224" spans="1:37" ht="15" customHeight="1">
      <c r="A224" s="70" t="str">
        <f>IF(Download!B214="","",Download!B214)</f>
        <v>TR951</v>
      </c>
      <c r="B224" s="70" t="str">
        <f>IF(Download!C214="","",Download!C214)</f>
        <v>Disneyland,Paris-13/16.7.15</v>
      </c>
      <c r="C224" s="45">
        <f>Download!D214</f>
        <v>0</v>
      </c>
      <c r="D224" s="42">
        <f>Download!H214</f>
        <v>0</v>
      </c>
      <c r="E224" s="252"/>
      <c r="F224" s="29" t="str">
        <f t="shared" si="40"/>
        <v>-</v>
      </c>
      <c r="G224" s="39"/>
      <c r="H224" s="39"/>
      <c r="I224" s="40"/>
      <c r="J224" s="47">
        <f t="shared" si="41"/>
        <v>0</v>
      </c>
      <c r="K224" s="37">
        <f t="shared" si="42"/>
        <v>0</v>
      </c>
      <c r="L224" s="43">
        <f>IF(ISERROR(VLOOKUP(A224,'Workings Prior Month'!A:N,10,FALSE))=TRUE,0,(VLOOKUP(A224,'Workings Prior Month'!A:N,10,FALSE)))</f>
        <v>0</v>
      </c>
      <c r="M224" s="43">
        <f>IF(ISERROR(VLOOKUP(A224,'Workings Prior Month'!A:N,11,FALSE))=TRUE,0,(VLOOKUP(A224,'Workings Prior Month'!A:N,11,FALSE)))</f>
        <v>0</v>
      </c>
      <c r="N224" s="49">
        <f t="shared" si="43"/>
        <v>0</v>
      </c>
      <c r="O224" s="137">
        <f>IF(ISERROR(VLOOKUP(A224,'Cross ref Tab'!A:C,3,FALSE)=TRUE),9500,VLOOKUP(A224,'Cross ref Tab'!A:C,3,FALSE))</f>
        <v>4000</v>
      </c>
      <c r="P224" s="137">
        <f>IF(A224="","",COUNTIF('Cross ref Tab'!$A$3:$A$311,A224))</f>
        <v>1</v>
      </c>
      <c r="Q224" s="182">
        <f t="shared" si="44"/>
      </c>
      <c r="R224" s="5">
        <f t="shared" si="45"/>
        <v>0</v>
      </c>
      <c r="S224" s="149">
        <f t="shared" si="46"/>
        <v>0</v>
      </c>
      <c r="T224" s="149">
        <f t="shared" si="47"/>
        <v>0</v>
      </c>
      <c r="U224" s="150">
        <f t="shared" si="48"/>
        <v>0</v>
      </c>
      <c r="V224" s="5" t="e">
        <f>VLOOKUP(A224,#REF!,7,FALSE)-C224</f>
        <v>#REF!</v>
      </c>
      <c r="W224" s="5" t="e">
        <f>SUMIF(#REF!,A224,#REF!)-C224</f>
        <v>#REF!</v>
      </c>
      <c r="X224" s="5"/>
      <c r="Y224" s="5"/>
      <c r="Z224" s="5"/>
      <c r="AA224" s="5"/>
      <c r="AB224" s="5"/>
      <c r="AC224" s="5"/>
      <c r="AD224" s="5"/>
      <c r="AE224" s="5"/>
      <c r="AF224" s="5"/>
      <c r="AG224" s="5"/>
      <c r="AH224" s="5"/>
      <c r="AI224" s="5"/>
      <c r="AJ224" s="5"/>
      <c r="AK224" s="5"/>
    </row>
    <row r="225" spans="1:37" ht="15" customHeight="1">
      <c r="A225" s="70" t="str">
        <f>IF(Download!B215="","",Download!B215)</f>
        <v>TR952</v>
      </c>
      <c r="B225" s="70" t="str">
        <f>IF(Download!C215="","",Download!C215)</f>
        <v>'John' - 18.12.14</v>
      </c>
      <c r="C225" s="45">
        <f>Download!D215</f>
        <v>0</v>
      </c>
      <c r="D225" s="42">
        <f>Download!H215</f>
        <v>0</v>
      </c>
      <c r="E225" s="252"/>
      <c r="F225" s="29" t="str">
        <f t="shared" si="40"/>
        <v>-</v>
      </c>
      <c r="G225" s="39"/>
      <c r="H225" s="39"/>
      <c r="I225" s="40"/>
      <c r="J225" s="47">
        <f t="shared" si="41"/>
        <v>0</v>
      </c>
      <c r="K225" s="37">
        <f t="shared" si="42"/>
        <v>0</v>
      </c>
      <c r="L225" s="43">
        <f>IF(ISERROR(VLOOKUP(A225,'Workings Prior Month'!A:N,10,FALSE))=TRUE,0,(VLOOKUP(A225,'Workings Prior Month'!A:N,10,FALSE)))</f>
        <v>0</v>
      </c>
      <c r="M225" s="43">
        <f>IF(ISERROR(VLOOKUP(A225,'Workings Prior Month'!A:N,11,FALSE))=TRUE,0,(VLOOKUP(A225,'Workings Prior Month'!A:N,11,FALSE)))</f>
        <v>0</v>
      </c>
      <c r="N225" s="49">
        <f t="shared" si="43"/>
        <v>0</v>
      </c>
      <c r="O225" s="137">
        <f>IF(ISERROR(VLOOKUP(A225,'Cross ref Tab'!A:C,3,FALSE)=TRUE),9500,VLOOKUP(A225,'Cross ref Tab'!A:C,3,FALSE))</f>
        <v>4000</v>
      </c>
      <c r="P225" s="137">
        <f>IF(A225="","",COUNTIF('Cross ref Tab'!$A$3:$A$311,A225))</f>
        <v>1</v>
      </c>
      <c r="Q225" s="182">
        <f t="shared" si="44"/>
      </c>
      <c r="R225" s="5">
        <f t="shared" si="45"/>
        <v>0</v>
      </c>
      <c r="S225" s="149">
        <f t="shared" si="46"/>
        <v>0</v>
      </c>
      <c r="T225" s="149">
        <f t="shared" si="47"/>
        <v>0</v>
      </c>
      <c r="U225" s="150">
        <f t="shared" si="48"/>
        <v>0</v>
      </c>
      <c r="V225" s="5" t="e">
        <f>VLOOKUP(A225,#REF!,7,FALSE)-C225</f>
        <v>#REF!</v>
      </c>
      <c r="W225" s="5" t="e">
        <f>SUMIF(#REF!,A225,#REF!)-C225</f>
        <v>#REF!</v>
      </c>
      <c r="X225" s="5"/>
      <c r="Y225" s="5"/>
      <c r="Z225" s="5"/>
      <c r="AA225" s="5"/>
      <c r="AB225" s="5"/>
      <c r="AC225" s="5"/>
      <c r="AD225" s="5"/>
      <c r="AE225" s="5"/>
      <c r="AF225" s="5"/>
      <c r="AG225" s="5"/>
      <c r="AH225" s="5"/>
      <c r="AI225" s="5"/>
      <c r="AJ225" s="5"/>
      <c r="AK225" s="5"/>
    </row>
    <row r="226" spans="1:37" ht="15" customHeight="1">
      <c r="A226" s="70" t="str">
        <f>IF(Download!B216="","",Download!B216)</f>
        <v>TR957</v>
      </c>
      <c r="B226" s="70" t="str">
        <f>IF(Download!C216="","",Download!C216)</f>
        <v>Treasure Island - 18.3.15</v>
      </c>
      <c r="C226" s="45">
        <f>Download!D216</f>
        <v>0</v>
      </c>
      <c r="D226" s="42">
        <f>Download!H216</f>
        <v>0</v>
      </c>
      <c r="E226" s="252"/>
      <c r="F226" s="29" t="str">
        <f t="shared" si="40"/>
        <v>-</v>
      </c>
      <c r="G226" s="39"/>
      <c r="H226" s="39"/>
      <c r="I226" s="40"/>
      <c r="J226" s="47">
        <f t="shared" si="41"/>
        <v>0</v>
      </c>
      <c r="K226" s="37">
        <f t="shared" si="42"/>
        <v>0</v>
      </c>
      <c r="L226" s="43">
        <f>IF(ISERROR(VLOOKUP(A226,'Workings Prior Month'!A:N,10,FALSE))=TRUE,0,(VLOOKUP(A226,'Workings Prior Month'!A:N,10,FALSE)))</f>
        <v>0</v>
      </c>
      <c r="M226" s="43">
        <f>IF(ISERROR(VLOOKUP(A226,'Workings Prior Month'!A:N,11,FALSE))=TRUE,0,(VLOOKUP(A226,'Workings Prior Month'!A:N,11,FALSE)))</f>
        <v>0</v>
      </c>
      <c r="N226" s="49">
        <f t="shared" si="43"/>
        <v>0</v>
      </c>
      <c r="O226" s="137">
        <f>IF(ISERROR(VLOOKUP(A226,'Cross ref Tab'!A:C,3,FALSE)=TRUE),9500,VLOOKUP(A226,'Cross ref Tab'!A:C,3,FALSE))</f>
        <v>4000</v>
      </c>
      <c r="P226" s="137">
        <f>IF(A226="","",COUNTIF('Cross ref Tab'!$A$3:$A$311,A226))</f>
        <v>1</v>
      </c>
      <c r="Q226" s="182">
        <f t="shared" si="44"/>
      </c>
      <c r="R226" s="5">
        <f t="shared" si="45"/>
        <v>0</v>
      </c>
      <c r="S226" s="149">
        <f t="shared" si="46"/>
        <v>0</v>
      </c>
      <c r="T226" s="149">
        <f t="shared" si="47"/>
        <v>0</v>
      </c>
      <c r="U226" s="150">
        <f t="shared" si="48"/>
        <v>0</v>
      </c>
      <c r="V226" s="5" t="e">
        <f>VLOOKUP(A226,#REF!,7,FALSE)-C226</f>
        <v>#REF!</v>
      </c>
      <c r="W226" s="5" t="e">
        <f>SUMIF(#REF!,A226,#REF!)-C226</f>
        <v>#REF!</v>
      </c>
      <c r="X226" s="5"/>
      <c r="Y226" s="5"/>
      <c r="Z226" s="5"/>
      <c r="AA226" s="5"/>
      <c r="AB226" s="5"/>
      <c r="AC226" s="5"/>
      <c r="AD226" s="5"/>
      <c r="AE226" s="5"/>
      <c r="AF226" s="5"/>
      <c r="AG226" s="5"/>
      <c r="AH226" s="5"/>
      <c r="AI226" s="5"/>
      <c r="AJ226" s="5"/>
      <c r="AK226" s="5"/>
    </row>
    <row r="227" spans="1:37" ht="15" customHeight="1">
      <c r="A227" s="70" t="str">
        <f>IF(Download!B217="","",Download!B217)</f>
        <v>TR960</v>
      </c>
      <c r="B227" s="70" t="str">
        <f>IF(Download!C217="","",Download!C217)</f>
        <v>Harry Potter - 24/1/14</v>
      </c>
      <c r="C227" s="45">
        <f>Download!D217</f>
        <v>0</v>
      </c>
      <c r="D227" s="42">
        <f>Download!H217</f>
        <v>0</v>
      </c>
      <c r="E227" s="252"/>
      <c r="F227" s="29" t="str">
        <f t="shared" si="40"/>
        <v>-</v>
      </c>
      <c r="G227" s="39"/>
      <c r="H227" s="39"/>
      <c r="I227" s="255"/>
      <c r="J227" s="47">
        <f t="shared" si="41"/>
        <v>0</v>
      </c>
      <c r="K227" s="37">
        <f t="shared" si="42"/>
        <v>0</v>
      </c>
      <c r="L227" s="43">
        <f>IF(ISERROR(VLOOKUP(A227,'Workings Prior Month'!A:N,10,FALSE))=TRUE,0,(VLOOKUP(A227,'Workings Prior Month'!A:N,10,FALSE)))</f>
        <v>0</v>
      </c>
      <c r="M227" s="43">
        <f>IF(ISERROR(VLOOKUP(A227,'Workings Prior Month'!A:N,11,FALSE))=TRUE,0,(VLOOKUP(A227,'Workings Prior Month'!A:N,11,FALSE)))</f>
        <v>0</v>
      </c>
      <c r="N227" s="49">
        <f t="shared" si="43"/>
        <v>0</v>
      </c>
      <c r="O227" s="137">
        <f>IF(ISERROR(VLOOKUP(A227,'Cross ref Tab'!A:C,3,FALSE)=TRUE),9500,VLOOKUP(A227,'Cross ref Tab'!A:C,3,FALSE))</f>
        <v>4000</v>
      </c>
      <c r="P227" s="137">
        <f>IF(A227="","",COUNTIF('Cross ref Tab'!$A$3:$A$311,A227))</f>
        <v>1</v>
      </c>
      <c r="Q227" s="182">
        <f t="shared" si="44"/>
      </c>
      <c r="R227" s="5">
        <f t="shared" si="45"/>
        <v>0</v>
      </c>
      <c r="S227" s="149">
        <f t="shared" si="46"/>
        <v>0</v>
      </c>
      <c r="T227" s="149">
        <f t="shared" si="47"/>
        <v>0</v>
      </c>
      <c r="U227" s="150">
        <f t="shared" si="48"/>
        <v>0</v>
      </c>
      <c r="V227" s="5" t="e">
        <f>VLOOKUP(A227,#REF!,7,FALSE)-C227</f>
        <v>#REF!</v>
      </c>
      <c r="W227" s="5" t="e">
        <f>SUMIF(#REF!,A227,#REF!)-C227</f>
        <v>#REF!</v>
      </c>
      <c r="X227" s="5"/>
      <c r="Y227" s="5"/>
      <c r="Z227" s="5"/>
      <c r="AA227" s="5"/>
      <c r="AB227" s="5"/>
      <c r="AC227" s="5"/>
      <c r="AD227" s="5"/>
      <c r="AE227" s="5"/>
      <c r="AF227" s="5"/>
      <c r="AG227" s="5"/>
      <c r="AH227" s="5"/>
      <c r="AI227" s="5"/>
      <c r="AJ227" s="5"/>
      <c r="AK227" s="5"/>
    </row>
    <row r="228" spans="1:37" ht="15" customHeight="1">
      <c r="A228" s="70" t="str">
        <f>IF(Download!B218="","",Download!B218)</f>
        <v>TR961</v>
      </c>
      <c r="B228" s="70" t="str">
        <f>IF(Download!C218="","",Download!C218)</f>
        <v>Dick Whittington</v>
      </c>
      <c r="C228" s="45">
        <f>Download!D218</f>
        <v>0</v>
      </c>
      <c r="D228" s="42">
        <f>Download!H218</f>
        <v>0</v>
      </c>
      <c r="E228" s="252"/>
      <c r="F228" s="29" t="str">
        <f t="shared" si="40"/>
        <v>-</v>
      </c>
      <c r="G228" s="39"/>
      <c r="H228" s="39"/>
      <c r="I228" s="40"/>
      <c r="J228" s="47">
        <f t="shared" si="41"/>
        <v>0</v>
      </c>
      <c r="K228" s="37">
        <f t="shared" si="42"/>
        <v>0</v>
      </c>
      <c r="L228" s="43">
        <f>IF(ISERROR(VLOOKUP(A228,'Workings Prior Month'!A:N,10,FALSE))=TRUE,0,(VLOOKUP(A228,'Workings Prior Month'!A:N,10,FALSE)))</f>
        <v>0</v>
      </c>
      <c r="M228" s="43">
        <f>IF(ISERROR(VLOOKUP(A228,'Workings Prior Month'!A:N,11,FALSE))=TRUE,0,(VLOOKUP(A228,'Workings Prior Month'!A:N,11,FALSE)))</f>
        <v>0</v>
      </c>
      <c r="N228" s="49">
        <f t="shared" si="43"/>
        <v>0</v>
      </c>
      <c r="O228" s="137">
        <f>IF(ISERROR(VLOOKUP(A228,'Cross ref Tab'!A:C,3,FALSE)=TRUE),9500,VLOOKUP(A228,'Cross ref Tab'!A:C,3,FALSE))</f>
        <v>4000</v>
      </c>
      <c r="P228" s="137">
        <f>IF(A228="","",COUNTIF('Cross ref Tab'!$A$3:$A$311,A228))</f>
        <v>1</v>
      </c>
      <c r="Q228" s="182">
        <f t="shared" si="44"/>
      </c>
      <c r="R228" s="5">
        <f t="shared" si="45"/>
        <v>0</v>
      </c>
      <c r="S228" s="149">
        <f t="shared" si="46"/>
        <v>0</v>
      </c>
      <c r="T228" s="149">
        <f t="shared" si="47"/>
        <v>0</v>
      </c>
      <c r="U228" s="150">
        <f t="shared" si="48"/>
        <v>0</v>
      </c>
      <c r="V228" s="5" t="e">
        <f>VLOOKUP(A228,#REF!,7,FALSE)-C228</f>
        <v>#REF!</v>
      </c>
      <c r="W228" s="5" t="e">
        <f>SUMIF(#REF!,A228,#REF!)-C228</f>
        <v>#REF!</v>
      </c>
      <c r="X228" s="5"/>
      <c r="Y228" s="5"/>
      <c r="Z228" s="5"/>
      <c r="AA228" s="5"/>
      <c r="AB228" s="5"/>
      <c r="AC228" s="5"/>
      <c r="AD228" s="5"/>
      <c r="AE228" s="5"/>
      <c r="AF228" s="5"/>
      <c r="AG228" s="5"/>
      <c r="AH228" s="5"/>
      <c r="AI228" s="5"/>
      <c r="AJ228" s="5"/>
      <c r="AK228" s="5"/>
    </row>
    <row r="229" spans="1:37" ht="15" customHeight="1">
      <c r="A229" s="70" t="str">
        <f>IF(Download!B219="","",Download!B219)</f>
        <v>TR964</v>
      </c>
      <c r="B229" s="70" t="str">
        <f>IF(Download!C219="","",Download!C219)</f>
        <v>Holocaust Talk - 22.1.16</v>
      </c>
      <c r="C229" s="45">
        <f>Download!D219</f>
        <v>0</v>
      </c>
      <c r="D229" s="42">
        <f>Download!H219</f>
        <v>-24</v>
      </c>
      <c r="E229" s="252"/>
      <c r="F229" s="29" t="str">
        <f t="shared" si="40"/>
        <v>-</v>
      </c>
      <c r="G229" s="39">
        <v>24</v>
      </c>
      <c r="H229" s="39"/>
      <c r="I229" s="255"/>
      <c r="J229" s="47">
        <f t="shared" si="41"/>
        <v>0</v>
      </c>
      <c r="K229" s="37">
        <f t="shared" si="42"/>
        <v>0</v>
      </c>
      <c r="L229" s="43">
        <f>IF(ISERROR(VLOOKUP(A229,'Workings Prior Month'!A:N,10,FALSE))=TRUE,0,(VLOOKUP(A229,'Workings Prior Month'!A:N,10,FALSE)))</f>
        <v>0</v>
      </c>
      <c r="M229" s="43">
        <f>IF(ISERROR(VLOOKUP(A229,'Workings Prior Month'!A:N,11,FALSE))=TRUE,0,(VLOOKUP(A229,'Workings Prior Month'!A:N,11,FALSE)))</f>
        <v>0</v>
      </c>
      <c r="N229" s="49">
        <f t="shared" si="43"/>
        <v>0</v>
      </c>
      <c r="O229" s="137">
        <f>IF(ISERROR(VLOOKUP(A229,'Cross ref Tab'!A:C,3,FALSE)=TRUE),9500,VLOOKUP(A229,'Cross ref Tab'!A:C,3,FALSE))</f>
        <v>4000</v>
      </c>
      <c r="P229" s="137">
        <f>IF(A229="","",COUNTIF('Cross ref Tab'!$A$3:$A$311,A229))</f>
        <v>1</v>
      </c>
      <c r="Q229" s="182">
        <f t="shared" si="44"/>
      </c>
      <c r="R229" s="5">
        <f t="shared" si="45"/>
        <v>0</v>
      </c>
      <c r="S229" s="149">
        <f t="shared" si="46"/>
        <v>0</v>
      </c>
      <c r="T229" s="149">
        <f t="shared" si="47"/>
        <v>0</v>
      </c>
      <c r="U229" s="150">
        <f t="shared" si="48"/>
        <v>0</v>
      </c>
      <c r="V229" s="5" t="e">
        <f>VLOOKUP(A229,#REF!,7,FALSE)-C229</f>
        <v>#REF!</v>
      </c>
      <c r="W229" s="5" t="e">
        <f>SUMIF(#REF!,A229,#REF!)-C229</f>
        <v>#REF!</v>
      </c>
      <c r="X229" s="5"/>
      <c r="Y229" s="5"/>
      <c r="Z229" s="5"/>
      <c r="AA229" s="5"/>
      <c r="AB229" s="5"/>
      <c r="AC229" s="5"/>
      <c r="AD229" s="5"/>
      <c r="AE229" s="5"/>
      <c r="AF229" s="5"/>
      <c r="AG229" s="5"/>
      <c r="AH229" s="5"/>
      <c r="AI229" s="5"/>
      <c r="AJ229" s="5"/>
      <c r="AK229" s="5"/>
    </row>
    <row r="230" spans="1:37" ht="15" customHeight="1">
      <c r="A230" s="70" t="str">
        <f>IF(Download!B220="","",Download!B220)</f>
        <v>TR966</v>
      </c>
      <c r="B230" s="70" t="str">
        <f>IF(Download!C220="","",Download!C220)</f>
        <v>Thriftwood Scout Camp - 14.3.16</v>
      </c>
      <c r="C230" s="45">
        <f>Download!D220</f>
        <v>0</v>
      </c>
      <c r="D230" s="42">
        <f>Download!H220</f>
        <v>0</v>
      </c>
      <c r="E230" s="252"/>
      <c r="F230" s="29" t="str">
        <f t="shared" si="40"/>
        <v>-</v>
      </c>
      <c r="G230" s="39"/>
      <c r="H230" s="39"/>
      <c r="I230" s="40"/>
      <c r="J230" s="47">
        <f t="shared" si="41"/>
        <v>0</v>
      </c>
      <c r="K230" s="37">
        <f t="shared" si="42"/>
        <v>0</v>
      </c>
      <c r="L230" s="43">
        <f>IF(ISERROR(VLOOKUP(A230,'Workings Prior Month'!A:N,10,FALSE))=TRUE,0,(VLOOKUP(A230,'Workings Prior Month'!A:N,10,FALSE)))</f>
        <v>0</v>
      </c>
      <c r="M230" s="43">
        <f>IF(ISERROR(VLOOKUP(A230,'Workings Prior Month'!A:N,11,FALSE))=TRUE,0,(VLOOKUP(A230,'Workings Prior Month'!A:N,11,FALSE)))</f>
        <v>0</v>
      </c>
      <c r="N230" s="49">
        <f t="shared" si="43"/>
        <v>0</v>
      </c>
      <c r="O230" s="137">
        <f>IF(ISERROR(VLOOKUP(A230,'Cross ref Tab'!A:C,3,FALSE)=TRUE),9500,VLOOKUP(A230,'Cross ref Tab'!A:C,3,FALSE))</f>
        <v>4000</v>
      </c>
      <c r="P230" s="137">
        <f>IF(A230="","",COUNTIF('Cross ref Tab'!$A$3:$A$311,A230))</f>
        <v>1</v>
      </c>
      <c r="Q230" s="182">
        <f t="shared" si="44"/>
      </c>
      <c r="R230" s="5">
        <f t="shared" si="45"/>
        <v>0</v>
      </c>
      <c r="S230" s="149">
        <f t="shared" si="46"/>
        <v>0</v>
      </c>
      <c r="T230" s="149">
        <f t="shared" si="47"/>
        <v>0</v>
      </c>
      <c r="U230" s="150">
        <f t="shared" si="48"/>
        <v>0</v>
      </c>
      <c r="V230" s="5" t="e">
        <f>VLOOKUP(A230,#REF!,7,FALSE)-C230</f>
        <v>#REF!</v>
      </c>
      <c r="W230" s="5" t="e">
        <f>SUMIF(#REF!,A230,#REF!)-C230</f>
        <v>#REF!</v>
      </c>
      <c r="X230" s="5"/>
      <c r="Y230" s="5"/>
      <c r="Z230" s="5"/>
      <c r="AA230" s="5"/>
      <c r="AB230" s="5"/>
      <c r="AC230" s="5"/>
      <c r="AD230" s="5"/>
      <c r="AE230" s="5"/>
      <c r="AF230" s="5"/>
      <c r="AG230" s="5"/>
      <c r="AH230" s="5"/>
      <c r="AI230" s="5"/>
      <c r="AJ230" s="5"/>
      <c r="AK230" s="5"/>
    </row>
    <row r="231" spans="1:37" ht="15" customHeight="1">
      <c r="A231" s="70" t="str">
        <f>IF(Download!B221="","",Download!B221)</f>
        <v>TR967</v>
      </c>
      <c r="B231" s="70" t="str">
        <f>IF(Download!C221="","",Download!C221)</f>
        <v>Epp. Forest Field Trip 7/8.05.15</v>
      </c>
      <c r="C231" s="45">
        <f>Download!D221</f>
        <v>0</v>
      </c>
      <c r="D231" s="42">
        <f>Download!H221</f>
        <v>0</v>
      </c>
      <c r="E231" s="252"/>
      <c r="F231" s="29" t="str">
        <f t="shared" si="40"/>
        <v>-</v>
      </c>
      <c r="G231" s="39"/>
      <c r="H231" s="39"/>
      <c r="I231" s="40"/>
      <c r="J231" s="47">
        <f t="shared" si="41"/>
        <v>0</v>
      </c>
      <c r="K231" s="37">
        <f t="shared" si="42"/>
        <v>0</v>
      </c>
      <c r="L231" s="43">
        <f>IF(ISERROR(VLOOKUP(A231,'Workings Prior Month'!A:N,10,FALSE))=TRUE,0,(VLOOKUP(A231,'Workings Prior Month'!A:N,10,FALSE)))</f>
        <v>0</v>
      </c>
      <c r="M231" s="43">
        <f>IF(ISERROR(VLOOKUP(A231,'Workings Prior Month'!A:N,11,FALSE))=TRUE,0,(VLOOKUP(A231,'Workings Prior Month'!A:N,11,FALSE)))</f>
        <v>0</v>
      </c>
      <c r="N231" s="49">
        <f t="shared" si="43"/>
        <v>0</v>
      </c>
      <c r="O231" s="137">
        <f>IF(ISERROR(VLOOKUP(A231,'Cross ref Tab'!A:C,3,FALSE)=TRUE),9500,VLOOKUP(A231,'Cross ref Tab'!A:C,3,FALSE))</f>
        <v>4000</v>
      </c>
      <c r="P231" s="137">
        <f>IF(A231="","",COUNTIF('Cross ref Tab'!$A$3:$A$311,A231))</f>
        <v>1</v>
      </c>
      <c r="Q231" s="182">
        <f t="shared" si="44"/>
      </c>
      <c r="R231" s="5">
        <f t="shared" si="45"/>
        <v>0</v>
      </c>
      <c r="S231" s="149">
        <f t="shared" si="46"/>
        <v>0</v>
      </c>
      <c r="T231" s="149">
        <f t="shared" si="47"/>
        <v>0</v>
      </c>
      <c r="U231" s="150">
        <f t="shared" si="48"/>
        <v>0</v>
      </c>
      <c r="V231" s="5" t="e">
        <f>VLOOKUP(A231,#REF!,7,FALSE)-C231</f>
        <v>#REF!</v>
      </c>
      <c r="W231" s="5" t="e">
        <f>SUMIF(#REF!,A231,#REF!)-C231</f>
        <v>#REF!</v>
      </c>
      <c r="X231" s="5"/>
      <c r="Y231" s="5"/>
      <c r="Z231" s="5"/>
      <c r="AA231" s="5"/>
      <c r="AB231" s="5"/>
      <c r="AC231" s="5"/>
      <c r="AD231" s="5"/>
      <c r="AE231" s="5"/>
      <c r="AF231" s="5"/>
      <c r="AG231" s="5"/>
      <c r="AH231" s="5"/>
      <c r="AI231" s="5"/>
      <c r="AJ231" s="5"/>
      <c r="AK231" s="5"/>
    </row>
    <row r="232" spans="1:37" ht="15" customHeight="1">
      <c r="A232" s="70" t="str">
        <f>IF(Download!B222="","",Download!B222)</f>
        <v>TR969</v>
      </c>
      <c r="B232" s="70" t="str">
        <f>IF(Download!C222="","",Download!C222)</f>
        <v>Woman in Black-10/11/2015</v>
      </c>
      <c r="C232" s="45">
        <f>Download!D222</f>
        <v>0</v>
      </c>
      <c r="D232" s="42">
        <f>Download!H222</f>
        <v>0</v>
      </c>
      <c r="E232" s="252"/>
      <c r="F232" s="29" t="str">
        <f t="shared" si="40"/>
        <v>-</v>
      </c>
      <c r="G232" s="39"/>
      <c r="H232" s="39"/>
      <c r="I232" s="40"/>
      <c r="J232" s="47">
        <f t="shared" si="41"/>
        <v>0</v>
      </c>
      <c r="K232" s="37">
        <f t="shared" si="42"/>
        <v>0</v>
      </c>
      <c r="L232" s="43">
        <f>IF(ISERROR(VLOOKUP(A232,'Workings Prior Month'!A:N,10,FALSE))=TRUE,0,(VLOOKUP(A232,'Workings Prior Month'!A:N,10,FALSE)))</f>
        <v>0</v>
      </c>
      <c r="M232" s="43">
        <f>IF(ISERROR(VLOOKUP(A232,'Workings Prior Month'!A:N,11,FALSE))=TRUE,0,(VLOOKUP(A232,'Workings Prior Month'!A:N,11,FALSE)))</f>
        <v>0</v>
      </c>
      <c r="N232" s="49">
        <f t="shared" si="43"/>
        <v>0</v>
      </c>
      <c r="O232" s="137">
        <f>IF(ISERROR(VLOOKUP(A232,'Cross ref Tab'!A:C,3,FALSE)=TRUE),9500,VLOOKUP(A232,'Cross ref Tab'!A:C,3,FALSE))</f>
        <v>4000</v>
      </c>
      <c r="P232" s="137">
        <f>IF(A232="","",COUNTIF('Cross ref Tab'!$A$3:$A$311,A232))</f>
        <v>1</v>
      </c>
      <c r="Q232" s="182">
        <f t="shared" si="44"/>
      </c>
      <c r="R232" s="5">
        <f t="shared" si="45"/>
        <v>0</v>
      </c>
      <c r="S232" s="149">
        <f t="shared" si="46"/>
        <v>0</v>
      </c>
      <c r="T232" s="149">
        <f t="shared" si="47"/>
        <v>0</v>
      </c>
      <c r="U232" s="150">
        <f t="shared" si="48"/>
        <v>0</v>
      </c>
      <c r="V232" s="5" t="e">
        <f>VLOOKUP(A232,#REF!,7,FALSE)-C232</f>
        <v>#REF!</v>
      </c>
      <c r="W232" s="5" t="e">
        <f>SUMIF(#REF!,A232,#REF!)-C232</f>
        <v>#REF!</v>
      </c>
      <c r="X232" s="5"/>
      <c r="Y232" s="5"/>
      <c r="Z232" s="5"/>
      <c r="AA232" s="5"/>
      <c r="AB232" s="5"/>
      <c r="AC232" s="5"/>
      <c r="AD232" s="5"/>
      <c r="AE232" s="5"/>
      <c r="AF232" s="5"/>
      <c r="AG232" s="5"/>
      <c r="AH232" s="5"/>
      <c r="AI232" s="5"/>
      <c r="AJ232" s="5"/>
      <c r="AK232" s="5"/>
    </row>
    <row r="233" spans="1:37" ht="15" customHeight="1">
      <c r="A233" s="70" t="str">
        <f>IF(Download!B223="","",Download!B223)</f>
        <v>TR9944</v>
      </c>
      <c r="B233" s="70" t="str">
        <f>IF(Download!C223="","",Download!C223)</f>
        <v>OCR AS Biology Text Books</v>
      </c>
      <c r="C233" s="45">
        <f>Download!D223</f>
        <v>0</v>
      </c>
      <c r="D233" s="42">
        <f>Download!H223</f>
        <v>46.12</v>
      </c>
      <c r="E233" s="252"/>
      <c r="F233" s="29" t="str">
        <f t="shared" si="40"/>
        <v>-</v>
      </c>
      <c r="G233" s="39"/>
      <c r="H233" s="39">
        <v>46.12</v>
      </c>
      <c r="I233" s="40"/>
      <c r="J233" s="47">
        <f t="shared" si="41"/>
        <v>0</v>
      </c>
      <c r="K233" s="37">
        <f t="shared" si="42"/>
        <v>0</v>
      </c>
      <c r="L233" s="43">
        <f>IF(ISERROR(VLOOKUP(A233,'Workings Prior Month'!A:N,10,FALSE))=TRUE,0,(VLOOKUP(A233,'Workings Prior Month'!A:N,10,FALSE)))</f>
        <v>0</v>
      </c>
      <c r="M233" s="43">
        <f>IF(ISERROR(VLOOKUP(A233,'Workings Prior Month'!A:N,11,FALSE))=TRUE,0,(VLOOKUP(A233,'Workings Prior Month'!A:N,11,FALSE)))</f>
        <v>0</v>
      </c>
      <c r="N233" s="49">
        <f t="shared" si="43"/>
        <v>0</v>
      </c>
      <c r="O233" s="137">
        <f>IF(ISERROR(VLOOKUP(A233,'Cross ref Tab'!A:C,3,FALSE)=TRUE),9500,VLOOKUP(A233,'Cross ref Tab'!A:C,3,FALSE))</f>
        <v>1600</v>
      </c>
      <c r="P233" s="137">
        <f>IF(A233="","",COUNTIF('Cross ref Tab'!$A$3:$A$311,A233))</f>
        <v>1</v>
      </c>
      <c r="Q233" s="182">
        <f t="shared" si="44"/>
      </c>
      <c r="R233" s="5">
        <f t="shared" si="45"/>
        <v>0</v>
      </c>
      <c r="S233" s="149">
        <f t="shared" si="46"/>
        <v>0</v>
      </c>
      <c r="T233" s="149">
        <f t="shared" si="47"/>
        <v>0</v>
      </c>
      <c r="U233" s="150">
        <f t="shared" si="48"/>
        <v>0</v>
      </c>
      <c r="V233" s="5" t="e">
        <f>VLOOKUP(A233,#REF!,7,FALSE)-C233</f>
        <v>#REF!</v>
      </c>
      <c r="W233" s="5" t="e">
        <f>SUMIF(#REF!,A233,#REF!)-C233</f>
        <v>#REF!</v>
      </c>
      <c r="X233" s="5"/>
      <c r="Y233" s="5"/>
      <c r="Z233" s="5"/>
      <c r="AA233" s="5"/>
      <c r="AB233" s="5"/>
      <c r="AC233" s="5"/>
      <c r="AD233" s="5"/>
      <c r="AE233" s="5"/>
      <c r="AF233" s="5"/>
      <c r="AG233" s="5"/>
      <c r="AH233" s="5"/>
      <c r="AI233" s="5"/>
      <c r="AJ233" s="5"/>
      <c r="AK233" s="5"/>
    </row>
    <row r="234" spans="1:37" ht="15" customHeight="1">
      <c r="A234" s="70">
        <f>IF(Download!B224="","",Download!B224)</f>
      </c>
      <c r="B234" s="70">
        <f>IF(Download!C224="","",Download!C224)</f>
      </c>
      <c r="C234" s="45">
        <f>Download!D224</f>
        <v>0</v>
      </c>
      <c r="D234" s="42">
        <f>Download!H224</f>
        <v>0</v>
      </c>
      <c r="E234" s="252"/>
      <c r="F234" s="29" t="str">
        <f t="shared" si="40"/>
        <v>-</v>
      </c>
      <c r="G234" s="39"/>
      <c r="H234" s="39"/>
      <c r="I234" s="40"/>
      <c r="J234" s="47">
        <f t="shared" si="41"/>
        <v>0</v>
      </c>
      <c r="K234" s="37">
        <f t="shared" si="42"/>
        <v>0</v>
      </c>
      <c r="L234" s="43">
        <f>IF(ISERROR(VLOOKUP(A234,'Workings Prior Month'!A:N,10,FALSE))=TRUE,0,(VLOOKUP(A234,'Workings Prior Month'!A:N,10,FALSE)))</f>
        <v>0</v>
      </c>
      <c r="M234" s="43">
        <f>IF(ISERROR(VLOOKUP(A234,'Workings Prior Month'!A:N,11,FALSE))=TRUE,0,(VLOOKUP(A234,'Workings Prior Month'!A:N,11,FALSE)))</f>
        <v>0</v>
      </c>
      <c r="N234" s="49">
        <f t="shared" si="43"/>
        <v>0</v>
      </c>
      <c r="O234" s="137">
        <f>IF(ISERROR(VLOOKUP(A234,'Cross ref Tab'!A:C,3,FALSE)=TRUE),9500,VLOOKUP(A234,'Cross ref Tab'!A:C,3,FALSE))</f>
        <v>0</v>
      </c>
      <c r="P234" s="137">
        <f>IF(A234="","",COUNTIF('Cross ref Tab'!$A$3:$A$311,A234))</f>
      </c>
      <c r="Q234" s="182">
        <f t="shared" si="44"/>
      </c>
      <c r="R234" s="5">
        <f t="shared" si="45"/>
        <v>0</v>
      </c>
      <c r="S234" s="149">
        <f t="shared" si="46"/>
        <v>0</v>
      </c>
      <c r="T234" s="149">
        <f t="shared" si="47"/>
        <v>0</v>
      </c>
      <c r="U234" s="150">
        <f t="shared" si="48"/>
        <v>0</v>
      </c>
      <c r="V234" s="5" t="e">
        <f>VLOOKUP(A234,#REF!,7,FALSE)-C234</f>
        <v>#REF!</v>
      </c>
      <c r="W234" s="5" t="e">
        <f>SUMIF(#REF!,A234,#REF!)-C234</f>
        <v>#REF!</v>
      </c>
      <c r="X234" s="5"/>
      <c r="Y234" s="5"/>
      <c r="Z234" s="5"/>
      <c r="AA234" s="5"/>
      <c r="AB234" s="5"/>
      <c r="AC234" s="5"/>
      <c r="AD234" s="5"/>
      <c r="AE234" s="5"/>
      <c r="AF234" s="5"/>
      <c r="AG234" s="5"/>
      <c r="AH234" s="5"/>
      <c r="AI234" s="5"/>
      <c r="AJ234" s="5"/>
      <c r="AK234" s="5"/>
    </row>
    <row r="235" spans="1:37" ht="15" customHeight="1">
      <c r="A235" s="70">
        <f>IF(Download!B225="","",Download!B225)</f>
      </c>
      <c r="B235" s="70">
        <f>IF(Download!C225="","",Download!C225)</f>
      </c>
      <c r="C235" s="45">
        <f>Download!D225</f>
        <v>0</v>
      </c>
      <c r="D235" s="42">
        <f>Download!H225</f>
        <v>0</v>
      </c>
      <c r="E235" s="252"/>
      <c r="F235" s="29" t="str">
        <f t="shared" si="40"/>
        <v>-</v>
      </c>
      <c r="G235" s="39"/>
      <c r="H235" s="39"/>
      <c r="I235" s="40"/>
      <c r="J235" s="47">
        <f t="shared" si="41"/>
        <v>0</v>
      </c>
      <c r="K235" s="37">
        <f t="shared" si="42"/>
        <v>0</v>
      </c>
      <c r="L235" s="43">
        <f>IF(ISERROR(VLOOKUP(A235,'Workings Prior Month'!A:N,10,FALSE))=TRUE,0,(VLOOKUP(A235,'Workings Prior Month'!A:N,10,FALSE)))</f>
        <v>0</v>
      </c>
      <c r="M235" s="43">
        <f>IF(ISERROR(VLOOKUP(A235,'Workings Prior Month'!A:N,11,FALSE))=TRUE,0,(VLOOKUP(A235,'Workings Prior Month'!A:N,11,FALSE)))</f>
        <v>0</v>
      </c>
      <c r="N235" s="49">
        <f t="shared" si="43"/>
        <v>0</v>
      </c>
      <c r="O235" s="137">
        <f>IF(ISERROR(VLOOKUP(A235,'Cross ref Tab'!A:C,3,FALSE)=TRUE),9500,VLOOKUP(A235,'Cross ref Tab'!A:C,3,FALSE))</f>
        <v>0</v>
      </c>
      <c r="P235" s="137">
        <f>IF(A235="","",COUNTIF('Cross ref Tab'!$A$3:$A$311,A235))</f>
      </c>
      <c r="Q235" s="182">
        <f t="shared" si="44"/>
      </c>
      <c r="R235" s="5">
        <f t="shared" si="45"/>
        <v>0</v>
      </c>
      <c r="S235" s="149">
        <f t="shared" si="46"/>
        <v>0</v>
      </c>
      <c r="T235" s="149">
        <f t="shared" si="47"/>
        <v>0</v>
      </c>
      <c r="U235" s="150">
        <f t="shared" si="48"/>
        <v>0</v>
      </c>
      <c r="V235" s="5" t="e">
        <f>VLOOKUP(A235,#REF!,7,FALSE)-C235</f>
        <v>#REF!</v>
      </c>
      <c r="W235" s="5" t="e">
        <f>SUMIF(#REF!,A235,#REF!)-C235</f>
        <v>#REF!</v>
      </c>
      <c r="X235" s="5"/>
      <c r="Y235" s="5"/>
      <c r="Z235" s="5"/>
      <c r="AA235" s="5"/>
      <c r="AB235" s="5"/>
      <c r="AC235" s="5"/>
      <c r="AD235" s="5"/>
      <c r="AE235" s="5"/>
      <c r="AF235" s="5"/>
      <c r="AG235" s="5"/>
      <c r="AH235" s="5"/>
      <c r="AI235" s="5"/>
      <c r="AJ235" s="5"/>
      <c r="AK235" s="5"/>
    </row>
    <row r="236" spans="1:37" ht="15" customHeight="1">
      <c r="A236" s="70">
        <f>IF(Download!B226="","",Download!B226)</f>
      </c>
      <c r="B236" s="70">
        <f>IF(Download!C226="","",Download!C226)</f>
      </c>
      <c r="C236" s="45">
        <f>Download!D226</f>
        <v>0</v>
      </c>
      <c r="D236" s="42">
        <f>Download!H226</f>
        <v>0</v>
      </c>
      <c r="E236" s="252"/>
      <c r="F236" s="29" t="str">
        <f t="shared" si="40"/>
        <v>-</v>
      </c>
      <c r="G236" s="39"/>
      <c r="H236" s="39"/>
      <c r="I236" s="40"/>
      <c r="J236" s="47">
        <f t="shared" si="41"/>
        <v>0</v>
      </c>
      <c r="K236" s="37">
        <f t="shared" si="42"/>
        <v>0</v>
      </c>
      <c r="L236" s="43">
        <f>IF(ISERROR(VLOOKUP(A236,'Workings Prior Month'!A:N,10,FALSE))=TRUE,0,(VLOOKUP(A236,'Workings Prior Month'!A:N,10,FALSE)))</f>
        <v>0</v>
      </c>
      <c r="M236" s="43">
        <f>IF(ISERROR(VLOOKUP(A236,'Workings Prior Month'!A:N,11,FALSE))=TRUE,0,(VLOOKUP(A236,'Workings Prior Month'!A:N,11,FALSE)))</f>
        <v>0</v>
      </c>
      <c r="N236" s="49">
        <f t="shared" si="43"/>
        <v>0</v>
      </c>
      <c r="O236" s="137">
        <f>IF(ISERROR(VLOOKUP(A236,'Cross ref Tab'!A:C,3,FALSE)=TRUE),9500,VLOOKUP(A236,'Cross ref Tab'!A:C,3,FALSE))</f>
        <v>0</v>
      </c>
      <c r="P236" s="137">
        <f>IF(A236="","",COUNTIF('Cross ref Tab'!$A$3:$A$311,A236))</f>
      </c>
      <c r="Q236" s="182">
        <f t="shared" si="44"/>
      </c>
      <c r="R236" s="5">
        <f t="shared" si="45"/>
        <v>0</v>
      </c>
      <c r="S236" s="149">
        <f t="shared" si="46"/>
        <v>0</v>
      </c>
      <c r="T236" s="149">
        <f t="shared" si="47"/>
        <v>0</v>
      </c>
      <c r="U236" s="150">
        <f t="shared" si="48"/>
        <v>0</v>
      </c>
      <c r="V236" s="5" t="e">
        <f>VLOOKUP(A236,#REF!,7,FALSE)-C236</f>
        <v>#REF!</v>
      </c>
      <c r="W236" s="5" t="e">
        <f>SUMIF(#REF!,A236,#REF!)-C236</f>
        <v>#REF!</v>
      </c>
      <c r="X236" s="5"/>
      <c r="Y236" s="5"/>
      <c r="Z236" s="5"/>
      <c r="AA236" s="5"/>
      <c r="AB236" s="5"/>
      <c r="AC236" s="5"/>
      <c r="AD236" s="5"/>
      <c r="AE236" s="5"/>
      <c r="AF236" s="5"/>
      <c r="AG236" s="5"/>
      <c r="AH236" s="5"/>
      <c r="AI236" s="5"/>
      <c r="AJ236" s="5"/>
      <c r="AK236" s="5"/>
    </row>
    <row r="237" spans="1:37" ht="15" customHeight="1">
      <c r="A237" s="70">
        <f>IF(Download!B227="","",Download!B227)</f>
      </c>
      <c r="B237" s="70">
        <f>IF(Download!C227="","",Download!C227)</f>
      </c>
      <c r="C237" s="45">
        <f>Download!D227</f>
        <v>0</v>
      </c>
      <c r="D237" s="42">
        <f>Download!H227</f>
        <v>0</v>
      </c>
      <c r="E237" s="252"/>
      <c r="F237" s="29" t="str">
        <f t="shared" si="40"/>
        <v>-</v>
      </c>
      <c r="G237" s="39"/>
      <c r="H237" s="39"/>
      <c r="I237" s="40"/>
      <c r="J237" s="47">
        <f t="shared" si="41"/>
        <v>0</v>
      </c>
      <c r="K237" s="37">
        <f t="shared" si="42"/>
        <v>0</v>
      </c>
      <c r="L237" s="43">
        <f>IF(ISERROR(VLOOKUP(A237,'Workings Prior Month'!A:N,10,FALSE))=TRUE,0,(VLOOKUP(A237,'Workings Prior Month'!A:N,10,FALSE)))</f>
        <v>0</v>
      </c>
      <c r="M237" s="43">
        <f>IF(ISERROR(VLOOKUP(A237,'Workings Prior Month'!A:N,11,FALSE))=TRUE,0,(VLOOKUP(A237,'Workings Prior Month'!A:N,11,FALSE)))</f>
        <v>0</v>
      </c>
      <c r="N237" s="49">
        <f t="shared" si="43"/>
        <v>0</v>
      </c>
      <c r="O237" s="137">
        <f>IF(ISERROR(VLOOKUP(A237,'Cross ref Tab'!A:C,3,FALSE)=TRUE),9500,VLOOKUP(A237,'Cross ref Tab'!A:C,3,FALSE))</f>
        <v>0</v>
      </c>
      <c r="P237" s="137">
        <f>IF(A237="","",COUNTIF('Cross ref Tab'!$A$3:$A$311,A237))</f>
      </c>
      <c r="Q237" s="182">
        <f t="shared" si="44"/>
      </c>
      <c r="R237" s="5">
        <f t="shared" si="45"/>
        <v>0</v>
      </c>
      <c r="S237" s="149">
        <f t="shared" si="46"/>
        <v>0</v>
      </c>
      <c r="T237" s="149">
        <f t="shared" si="47"/>
        <v>0</v>
      </c>
      <c r="U237" s="150">
        <f t="shared" si="48"/>
        <v>0</v>
      </c>
      <c r="V237" s="5" t="e">
        <f>VLOOKUP(A237,#REF!,7,FALSE)-C237</f>
        <v>#REF!</v>
      </c>
      <c r="W237" s="5" t="e">
        <f>SUMIF(#REF!,A237,#REF!)-C237</f>
        <v>#REF!</v>
      </c>
      <c r="X237" s="5"/>
      <c r="Y237" s="5"/>
      <c r="Z237" s="5"/>
      <c r="AA237" s="5"/>
      <c r="AB237" s="5"/>
      <c r="AC237" s="5"/>
      <c r="AD237" s="5"/>
      <c r="AE237" s="5"/>
      <c r="AF237" s="5"/>
      <c r="AG237" s="5"/>
      <c r="AH237" s="5"/>
      <c r="AI237" s="5"/>
      <c r="AJ237" s="5"/>
      <c r="AK237" s="5"/>
    </row>
    <row r="238" spans="1:37" ht="15" customHeight="1">
      <c r="A238" s="70">
        <f>IF(Download!B228="","",Download!B228)</f>
      </c>
      <c r="B238" s="70">
        <f>IF(Download!C228="","",Download!C228)</f>
      </c>
      <c r="C238" s="45">
        <f>Download!D228</f>
        <v>0</v>
      </c>
      <c r="D238" s="42">
        <f>Download!H228</f>
        <v>0</v>
      </c>
      <c r="E238" s="252"/>
      <c r="F238" s="29" t="str">
        <f t="shared" si="40"/>
        <v>-</v>
      </c>
      <c r="G238" s="39"/>
      <c r="H238" s="39"/>
      <c r="I238" s="255"/>
      <c r="J238" s="47">
        <f t="shared" si="41"/>
        <v>0</v>
      </c>
      <c r="K238" s="37">
        <f t="shared" si="42"/>
        <v>0</v>
      </c>
      <c r="L238" s="43">
        <f>IF(ISERROR(VLOOKUP(A238,'Workings Prior Month'!A:N,10,FALSE))=TRUE,0,(VLOOKUP(A238,'Workings Prior Month'!A:N,10,FALSE)))</f>
        <v>0</v>
      </c>
      <c r="M238" s="43">
        <f>IF(ISERROR(VLOOKUP(A238,'Workings Prior Month'!A:N,11,FALSE))=TRUE,0,(VLOOKUP(A238,'Workings Prior Month'!A:N,11,FALSE)))</f>
        <v>0</v>
      </c>
      <c r="N238" s="49">
        <f t="shared" si="43"/>
        <v>0</v>
      </c>
      <c r="O238" s="137">
        <f>IF(ISERROR(VLOOKUP(A238,'Cross ref Tab'!A:C,3,FALSE)=TRUE),9500,VLOOKUP(A238,'Cross ref Tab'!A:C,3,FALSE))</f>
        <v>0</v>
      </c>
      <c r="P238" s="137">
        <f>IF(A238="","",COUNTIF('Cross ref Tab'!$A$3:$A$311,A238))</f>
      </c>
      <c r="Q238" s="182">
        <f t="shared" si="44"/>
      </c>
      <c r="R238" s="5">
        <f t="shared" si="45"/>
        <v>0</v>
      </c>
      <c r="S238" s="149">
        <f t="shared" si="46"/>
        <v>0</v>
      </c>
      <c r="T238" s="149">
        <f t="shared" si="47"/>
        <v>0</v>
      </c>
      <c r="U238" s="150">
        <f t="shared" si="48"/>
        <v>0</v>
      </c>
      <c r="V238" s="5" t="e">
        <f>VLOOKUP(A238,#REF!,7,FALSE)-C238</f>
        <v>#REF!</v>
      </c>
      <c r="W238" s="5" t="e">
        <f>SUMIF(#REF!,A238,#REF!)-C238</f>
        <v>#REF!</v>
      </c>
      <c r="X238" s="5"/>
      <c r="Y238" s="5"/>
      <c r="Z238" s="5"/>
      <c r="AA238" s="5"/>
      <c r="AB238" s="5"/>
      <c r="AC238" s="5"/>
      <c r="AD238" s="5"/>
      <c r="AE238" s="5"/>
      <c r="AF238" s="5"/>
      <c r="AG238" s="5"/>
      <c r="AH238" s="5"/>
      <c r="AI238" s="5"/>
      <c r="AJ238" s="5"/>
      <c r="AK238" s="5"/>
    </row>
    <row r="239" spans="1:37" ht="15" customHeight="1">
      <c r="A239" s="70">
        <f>IF(Download!B229="","",Download!B229)</f>
      </c>
      <c r="B239" s="70">
        <f>IF(Download!C229="","",Download!C229)</f>
      </c>
      <c r="C239" s="45">
        <f>Download!D229</f>
        <v>0</v>
      </c>
      <c r="D239" s="42">
        <f>Download!H229</f>
        <v>0</v>
      </c>
      <c r="E239" s="252"/>
      <c r="F239" s="29" t="str">
        <f t="shared" si="40"/>
        <v>-</v>
      </c>
      <c r="G239" s="39"/>
      <c r="H239" s="39"/>
      <c r="I239" s="40"/>
      <c r="J239" s="47">
        <f t="shared" si="41"/>
        <v>0</v>
      </c>
      <c r="K239" s="37">
        <f t="shared" si="42"/>
        <v>0</v>
      </c>
      <c r="L239" s="43">
        <f>IF(ISERROR(VLOOKUP(A239,'Workings Prior Month'!A:N,10,FALSE))=TRUE,0,(VLOOKUP(A239,'Workings Prior Month'!A:N,10,FALSE)))</f>
        <v>0</v>
      </c>
      <c r="M239" s="43">
        <f>IF(ISERROR(VLOOKUP(A239,'Workings Prior Month'!A:N,11,FALSE))=TRUE,0,(VLOOKUP(A239,'Workings Prior Month'!A:N,11,FALSE)))</f>
        <v>0</v>
      </c>
      <c r="N239" s="49">
        <f t="shared" si="43"/>
        <v>0</v>
      </c>
      <c r="O239" s="137">
        <f>IF(ISERROR(VLOOKUP(A239,'Cross ref Tab'!A:C,3,FALSE)=TRUE),9500,VLOOKUP(A239,'Cross ref Tab'!A:C,3,FALSE))</f>
        <v>0</v>
      </c>
      <c r="P239" s="137">
        <f>IF(A239="","",COUNTIF('Cross ref Tab'!$A$3:$A$311,A239))</f>
      </c>
      <c r="Q239" s="182">
        <f t="shared" si="44"/>
      </c>
      <c r="R239" s="5">
        <f t="shared" si="45"/>
        <v>0</v>
      </c>
      <c r="S239" s="149">
        <f t="shared" si="46"/>
        <v>0</v>
      </c>
      <c r="T239" s="149">
        <f t="shared" si="47"/>
        <v>0</v>
      </c>
      <c r="U239" s="150">
        <f t="shared" si="48"/>
        <v>0</v>
      </c>
      <c r="V239" s="5" t="e">
        <f>VLOOKUP(A239,#REF!,7,FALSE)-C239</f>
        <v>#REF!</v>
      </c>
      <c r="W239" s="5" t="e">
        <f>SUMIF(#REF!,A239,#REF!)-C239</f>
        <v>#REF!</v>
      </c>
      <c r="X239" s="5"/>
      <c r="Y239" s="5"/>
      <c r="Z239" s="5"/>
      <c r="AA239" s="5"/>
      <c r="AB239" s="5"/>
      <c r="AC239" s="5"/>
      <c r="AD239" s="5"/>
      <c r="AE239" s="5"/>
      <c r="AF239" s="5"/>
      <c r="AG239" s="5"/>
      <c r="AH239" s="5"/>
      <c r="AI239" s="5"/>
      <c r="AJ239" s="5"/>
      <c r="AK239" s="5"/>
    </row>
    <row r="240" spans="1:37" ht="15" customHeight="1">
      <c r="A240" s="70">
        <f>IF(Download!B230="","",Download!B230)</f>
      </c>
      <c r="B240" s="70">
        <f>IF(Download!C230="","",Download!C230)</f>
      </c>
      <c r="C240" s="45">
        <f>Download!D230</f>
        <v>0</v>
      </c>
      <c r="D240" s="42">
        <f>Download!H230</f>
        <v>0</v>
      </c>
      <c r="E240" s="252"/>
      <c r="F240" s="29" t="str">
        <f t="shared" si="40"/>
        <v>-</v>
      </c>
      <c r="G240" s="39"/>
      <c r="H240" s="39"/>
      <c r="I240" s="40"/>
      <c r="J240" s="47">
        <f t="shared" si="41"/>
        <v>0</v>
      </c>
      <c r="K240" s="37">
        <f t="shared" si="42"/>
        <v>0</v>
      </c>
      <c r="L240" s="43">
        <f>IF(ISERROR(VLOOKUP(A240,'Workings Prior Month'!A:N,10,FALSE))=TRUE,0,(VLOOKUP(A240,'Workings Prior Month'!A:N,10,FALSE)))</f>
        <v>0</v>
      </c>
      <c r="M240" s="43">
        <f>IF(ISERROR(VLOOKUP(A240,'Workings Prior Month'!A:N,11,FALSE))=TRUE,0,(VLOOKUP(A240,'Workings Prior Month'!A:N,11,FALSE)))</f>
        <v>0</v>
      </c>
      <c r="N240" s="49">
        <f t="shared" si="43"/>
        <v>0</v>
      </c>
      <c r="O240" s="137">
        <f>IF(ISERROR(VLOOKUP(A240,'Cross ref Tab'!A:C,3,FALSE)=TRUE),9500,VLOOKUP(A240,'Cross ref Tab'!A:C,3,FALSE))</f>
        <v>0</v>
      </c>
      <c r="P240" s="137">
        <f>IF(A240="","",COUNTIF('Cross ref Tab'!$A$3:$A$311,A240))</f>
      </c>
      <c r="Q240" s="182">
        <f t="shared" si="44"/>
      </c>
      <c r="R240" s="5">
        <f t="shared" si="45"/>
        <v>0</v>
      </c>
      <c r="S240" s="149">
        <f t="shared" si="46"/>
        <v>0</v>
      </c>
      <c r="T240" s="149">
        <f t="shared" si="47"/>
        <v>0</v>
      </c>
      <c r="U240" s="150">
        <f t="shared" si="48"/>
        <v>0</v>
      </c>
      <c r="V240" s="5" t="e">
        <f>VLOOKUP(A240,#REF!,7,FALSE)-C240</f>
        <v>#REF!</v>
      </c>
      <c r="W240" s="5" t="e">
        <f>SUMIF(#REF!,A240,#REF!)-C240</f>
        <v>#REF!</v>
      </c>
      <c r="X240" s="5"/>
      <c r="Y240" s="5"/>
      <c r="Z240" s="5"/>
      <c r="AA240" s="5"/>
      <c r="AB240" s="5"/>
      <c r="AC240" s="5"/>
      <c r="AD240" s="5"/>
      <c r="AE240" s="5"/>
      <c r="AF240" s="5"/>
      <c r="AG240" s="5"/>
      <c r="AH240" s="5"/>
      <c r="AI240" s="5"/>
      <c r="AJ240" s="5"/>
      <c r="AK240" s="5"/>
    </row>
    <row r="241" spans="1:37" ht="15" customHeight="1">
      <c r="A241" s="70">
        <f>IF(Download!B231="","",Download!B231)</f>
      </c>
      <c r="B241" s="70">
        <f>IF(Download!C231="","",Download!C231)</f>
      </c>
      <c r="C241" s="45">
        <f>Download!D231</f>
        <v>0</v>
      </c>
      <c r="D241" s="42">
        <f>Download!H231</f>
        <v>0</v>
      </c>
      <c r="E241" s="252"/>
      <c r="F241" s="29" t="str">
        <f t="shared" si="40"/>
        <v>-</v>
      </c>
      <c r="G241" s="39"/>
      <c r="H241" s="39"/>
      <c r="I241" s="40"/>
      <c r="J241" s="47">
        <f t="shared" si="41"/>
        <v>0</v>
      </c>
      <c r="K241" s="37">
        <f t="shared" si="42"/>
        <v>0</v>
      </c>
      <c r="L241" s="43">
        <f>IF(ISERROR(VLOOKUP(A241,'Workings Prior Month'!A:N,10,FALSE))=TRUE,0,(VLOOKUP(A241,'Workings Prior Month'!A:N,10,FALSE)))</f>
        <v>0</v>
      </c>
      <c r="M241" s="43">
        <f>IF(ISERROR(VLOOKUP(A241,'Workings Prior Month'!A:N,11,FALSE))=TRUE,0,(VLOOKUP(A241,'Workings Prior Month'!A:N,11,FALSE)))</f>
        <v>0</v>
      </c>
      <c r="N241" s="49">
        <f t="shared" si="43"/>
        <v>0</v>
      </c>
      <c r="O241" s="137">
        <f>IF(ISERROR(VLOOKUP(A241,'Cross ref Tab'!A:C,3,FALSE)=TRUE),9500,VLOOKUP(A241,'Cross ref Tab'!A:C,3,FALSE))</f>
        <v>0</v>
      </c>
      <c r="P241" s="137">
        <f>IF(A241="","",COUNTIF('Cross ref Tab'!$A$3:$A$311,A241))</f>
      </c>
      <c r="Q241" s="182">
        <f t="shared" si="44"/>
      </c>
      <c r="R241" s="5">
        <f t="shared" si="45"/>
        <v>0</v>
      </c>
      <c r="S241" s="149">
        <f t="shared" si="46"/>
        <v>0</v>
      </c>
      <c r="T241" s="149">
        <f t="shared" si="47"/>
        <v>0</v>
      </c>
      <c r="U241" s="150">
        <f t="shared" si="48"/>
        <v>0</v>
      </c>
      <c r="V241" s="5" t="e">
        <f>VLOOKUP(A241,#REF!,7,FALSE)-C241</f>
        <v>#REF!</v>
      </c>
      <c r="W241" s="5" t="e">
        <f>SUMIF(#REF!,A241,#REF!)-C241</f>
        <v>#REF!</v>
      </c>
      <c r="X241" s="5"/>
      <c r="Y241" s="5"/>
      <c r="Z241" s="5"/>
      <c r="AA241" s="5"/>
      <c r="AB241" s="5"/>
      <c r="AC241" s="5"/>
      <c r="AD241" s="5"/>
      <c r="AE241" s="5"/>
      <c r="AF241" s="5"/>
      <c r="AG241" s="5"/>
      <c r="AH241" s="5"/>
      <c r="AI241" s="5"/>
      <c r="AJ241" s="5"/>
      <c r="AK241" s="5"/>
    </row>
    <row r="242" spans="1:37" ht="15" customHeight="1">
      <c r="A242" s="70">
        <f>IF(Download!B232="","",Download!B232)</f>
      </c>
      <c r="B242" s="70">
        <f>IF(Download!C232="","",Download!C232)</f>
      </c>
      <c r="C242" s="45">
        <f>Download!D232</f>
        <v>0</v>
      </c>
      <c r="D242" s="42">
        <f>Download!H232</f>
        <v>0</v>
      </c>
      <c r="E242" s="252"/>
      <c r="F242" s="29" t="str">
        <f t="shared" si="40"/>
        <v>-</v>
      </c>
      <c r="G242" s="39"/>
      <c r="H242" s="39"/>
      <c r="I242" s="40"/>
      <c r="J242" s="47">
        <f t="shared" si="41"/>
        <v>0</v>
      </c>
      <c r="K242" s="37">
        <f t="shared" si="42"/>
        <v>0</v>
      </c>
      <c r="L242" s="43">
        <f>IF(ISERROR(VLOOKUP(A242,'Workings Prior Month'!A:N,10,FALSE))=TRUE,0,(VLOOKUP(A242,'Workings Prior Month'!A:N,10,FALSE)))</f>
        <v>0</v>
      </c>
      <c r="M242" s="43">
        <f>IF(ISERROR(VLOOKUP(A242,'Workings Prior Month'!A:N,11,FALSE))=TRUE,0,(VLOOKUP(A242,'Workings Prior Month'!A:N,11,FALSE)))</f>
        <v>0</v>
      </c>
      <c r="N242" s="49">
        <f t="shared" si="43"/>
        <v>0</v>
      </c>
      <c r="O242" s="137">
        <f>IF(ISERROR(VLOOKUP(A242,'Cross ref Tab'!A:C,3,FALSE)=TRUE),9500,VLOOKUP(A242,'Cross ref Tab'!A:C,3,FALSE))</f>
        <v>0</v>
      </c>
      <c r="P242" s="137">
        <f>IF(A242="","",COUNTIF('Cross ref Tab'!$A$3:$A$311,A242))</f>
      </c>
      <c r="Q242" s="182">
        <f t="shared" si="44"/>
      </c>
      <c r="R242" s="5">
        <f t="shared" si="45"/>
        <v>0</v>
      </c>
      <c r="S242" s="149">
        <f t="shared" si="46"/>
        <v>0</v>
      </c>
      <c r="T242" s="149">
        <f t="shared" si="47"/>
        <v>0</v>
      </c>
      <c r="U242" s="150">
        <f t="shared" si="48"/>
        <v>0</v>
      </c>
      <c r="V242" s="5" t="e">
        <f>VLOOKUP(A242,#REF!,7,FALSE)-C242</f>
        <v>#REF!</v>
      </c>
      <c r="W242" s="5" t="e">
        <f>SUMIF(#REF!,A242,#REF!)-C242</f>
        <v>#REF!</v>
      </c>
      <c r="X242" s="5"/>
      <c r="Y242" s="5"/>
      <c r="Z242" s="5"/>
      <c r="AA242" s="5"/>
      <c r="AB242" s="5"/>
      <c r="AC242" s="5"/>
      <c r="AD242" s="5"/>
      <c r="AE242" s="5"/>
      <c r="AF242" s="5"/>
      <c r="AG242" s="5"/>
      <c r="AH242" s="5"/>
      <c r="AI242" s="5"/>
      <c r="AJ242" s="5"/>
      <c r="AK242" s="5"/>
    </row>
    <row r="243" spans="1:37" ht="15" customHeight="1">
      <c r="A243" s="70">
        <f>IF(Download!B233="","",Download!B233)</f>
      </c>
      <c r="B243" s="70">
        <f>IF(Download!C233="","",Download!C233)</f>
      </c>
      <c r="C243" s="45"/>
      <c r="D243" s="42"/>
      <c r="E243" s="252">
        <f>IF(ISERROR(VLOOKUP(A243,'Workings Prior Month'!A:N,4,FALSE))=TRUE,0,(VLOOKUP(A243,'Workings Prior Month'!A:N,4,FALSE)))</f>
        <v>0</v>
      </c>
      <c r="F243" s="29" t="str">
        <f t="shared" si="40"/>
        <v>-</v>
      </c>
      <c r="G243" s="39"/>
      <c r="H243" s="39"/>
      <c r="I243" s="40"/>
      <c r="J243" s="47">
        <f t="shared" si="41"/>
        <v>0</v>
      </c>
      <c r="K243" s="37">
        <f t="shared" si="42"/>
        <v>0</v>
      </c>
      <c r="L243" s="43">
        <f>IF(ISERROR(VLOOKUP(A243,'Workings Prior Month'!A:N,10,FALSE))=TRUE,0,(VLOOKUP(A243,'Workings Prior Month'!A:N,10,FALSE)))</f>
        <v>0</v>
      </c>
      <c r="M243" s="43">
        <f>IF(ISERROR(VLOOKUP(A243,'Workings Prior Month'!A:N,11,FALSE))=TRUE,0,(VLOOKUP(A243,'Workings Prior Month'!A:N,11,FALSE)))</f>
        <v>0</v>
      </c>
      <c r="N243" s="49">
        <f t="shared" si="43"/>
        <v>0</v>
      </c>
      <c r="O243" s="137">
        <f>IF(ISERROR(VLOOKUP(A243,'Cross ref Tab'!A:C,3,FALSE)=TRUE),9500,VLOOKUP(A243,'Cross ref Tab'!A:C,3,FALSE))</f>
        <v>0</v>
      </c>
      <c r="P243" s="137">
        <f>IF(A243="","",COUNTIF('Cross ref Tab'!$A$3:$A$311,A243))</f>
      </c>
      <c r="Q243" s="182">
        <f t="shared" si="44"/>
      </c>
      <c r="R243" s="5">
        <f t="shared" si="45"/>
        <v>0</v>
      </c>
      <c r="S243" s="149">
        <f t="shared" si="46"/>
        <v>0</v>
      </c>
      <c r="T243" s="149">
        <f t="shared" si="47"/>
        <v>0</v>
      </c>
      <c r="U243" s="150">
        <f t="shared" si="48"/>
        <v>0</v>
      </c>
      <c r="V243" s="5" t="e">
        <f>VLOOKUP(A243,#REF!,7,FALSE)-C243</f>
        <v>#REF!</v>
      </c>
      <c r="W243" s="5" t="e">
        <f>SUMIF(#REF!,A243,#REF!)-C243</f>
        <v>#REF!</v>
      </c>
      <c r="X243" s="5"/>
      <c r="Y243" s="5"/>
      <c r="Z243" s="5"/>
      <c r="AA243" s="5"/>
      <c r="AB243" s="5"/>
      <c r="AC243" s="5"/>
      <c r="AD243" s="5"/>
      <c r="AE243" s="5"/>
      <c r="AF243" s="5"/>
      <c r="AG243" s="5"/>
      <c r="AH243" s="5"/>
      <c r="AI243" s="5"/>
      <c r="AJ243" s="5"/>
      <c r="AK243" s="5"/>
    </row>
    <row r="244" spans="1:37" ht="15" customHeight="1">
      <c r="A244" s="70">
        <f>IF(Download!B234="","",Download!B234)</f>
      </c>
      <c r="B244" s="70">
        <f>IF(Download!C234="","",Download!C234)</f>
      </c>
      <c r="C244" s="45"/>
      <c r="D244" s="42"/>
      <c r="E244" s="252">
        <f>IF(ISERROR(VLOOKUP(A244,'Workings Prior Month'!A:N,4,FALSE))=TRUE,0,(VLOOKUP(A244,'Workings Prior Month'!A:N,4,FALSE)))</f>
        <v>0</v>
      </c>
      <c r="F244" s="29" t="str">
        <f t="shared" si="40"/>
        <v>-</v>
      </c>
      <c r="G244" s="39"/>
      <c r="H244" s="39"/>
      <c r="I244" s="40"/>
      <c r="J244" s="47">
        <f t="shared" si="41"/>
        <v>0</v>
      </c>
      <c r="K244" s="37">
        <f t="shared" si="42"/>
        <v>0</v>
      </c>
      <c r="L244" s="43">
        <f>IF(ISERROR(VLOOKUP(A244,'Workings Prior Month'!A:N,10,FALSE))=TRUE,0,(VLOOKUP(A244,'Workings Prior Month'!A:N,10,FALSE)))</f>
        <v>0</v>
      </c>
      <c r="M244" s="43">
        <f>IF(ISERROR(VLOOKUP(A244,'Workings Prior Month'!A:N,11,FALSE))=TRUE,0,(VLOOKUP(A244,'Workings Prior Month'!A:N,11,FALSE)))</f>
        <v>0</v>
      </c>
      <c r="N244" s="49">
        <f t="shared" si="43"/>
        <v>0</v>
      </c>
      <c r="O244" s="137">
        <f>IF(ISERROR(VLOOKUP(A244,'Cross ref Tab'!A:C,3,FALSE)=TRUE),9500,VLOOKUP(A244,'Cross ref Tab'!A:C,3,FALSE))</f>
        <v>0</v>
      </c>
      <c r="P244" s="137">
        <f>IF(A244="","",COUNTIF('Cross ref Tab'!$A$3:$A$311,A244))</f>
      </c>
      <c r="Q244" s="182">
        <f t="shared" si="44"/>
      </c>
      <c r="R244" s="5">
        <f t="shared" si="45"/>
        <v>0</v>
      </c>
      <c r="S244" s="149">
        <f t="shared" si="46"/>
        <v>0</v>
      </c>
      <c r="T244" s="149">
        <f t="shared" si="47"/>
        <v>0</v>
      </c>
      <c r="U244" s="150">
        <f t="shared" si="48"/>
        <v>0</v>
      </c>
      <c r="V244" s="5" t="e">
        <f>VLOOKUP(A244,#REF!,7,FALSE)-C244</f>
        <v>#REF!</v>
      </c>
      <c r="W244" s="5" t="e">
        <f>SUMIF(#REF!,A244,#REF!)-C244</f>
        <v>#REF!</v>
      </c>
      <c r="X244" s="5"/>
      <c r="Y244" s="5"/>
      <c r="Z244" s="5"/>
      <c r="AA244" s="5"/>
      <c r="AB244" s="5"/>
      <c r="AC244" s="5"/>
      <c r="AD244" s="5"/>
      <c r="AE244" s="5"/>
      <c r="AF244" s="5"/>
      <c r="AG244" s="5"/>
      <c r="AH244" s="5"/>
      <c r="AI244" s="5"/>
      <c r="AJ244" s="5"/>
      <c r="AK244" s="5"/>
    </row>
    <row r="245" spans="1:37" ht="15" customHeight="1">
      <c r="A245" s="70">
        <f>IF(Download!B235="","",Download!B235)</f>
      </c>
      <c r="B245" s="70">
        <f>IF(Download!C235="","",Download!C235)</f>
      </c>
      <c r="C245" s="45"/>
      <c r="D245" s="42"/>
      <c r="E245" s="252">
        <f>IF(ISERROR(VLOOKUP(A245,'Workings Prior Month'!A:N,4,FALSE))=TRUE,0,(VLOOKUP(A245,'Workings Prior Month'!A:N,4,FALSE)))</f>
        <v>0</v>
      </c>
      <c r="F245" s="29" t="str">
        <f t="shared" si="40"/>
        <v>-</v>
      </c>
      <c r="G245" s="39"/>
      <c r="H245" s="39"/>
      <c r="I245" s="40"/>
      <c r="J245" s="47">
        <f t="shared" si="41"/>
        <v>0</v>
      </c>
      <c r="K245" s="37">
        <f t="shared" si="42"/>
        <v>0</v>
      </c>
      <c r="L245" s="43">
        <f>IF(ISERROR(VLOOKUP(A245,'Workings Prior Month'!A:N,10,FALSE))=TRUE,0,(VLOOKUP(A245,'Workings Prior Month'!A:N,10,FALSE)))</f>
        <v>0</v>
      </c>
      <c r="M245" s="43">
        <f>IF(ISERROR(VLOOKUP(A245,'Workings Prior Month'!A:N,11,FALSE))=TRUE,0,(VLOOKUP(A245,'Workings Prior Month'!A:N,11,FALSE)))</f>
        <v>0</v>
      </c>
      <c r="N245" s="49">
        <f t="shared" si="43"/>
        <v>0</v>
      </c>
      <c r="O245" s="137">
        <f>IF(ISERROR(VLOOKUP(A245,'Cross ref Tab'!A:C,3,FALSE)=TRUE),9500,VLOOKUP(A245,'Cross ref Tab'!A:C,3,FALSE))</f>
        <v>0</v>
      </c>
      <c r="P245" s="137">
        <f>IF(A245="","",COUNTIF('Cross ref Tab'!$A$3:$A$311,A245))</f>
      </c>
      <c r="Q245" s="182">
        <f t="shared" si="44"/>
      </c>
      <c r="R245" s="5">
        <f t="shared" si="45"/>
        <v>0</v>
      </c>
      <c r="S245" s="149">
        <f t="shared" si="46"/>
        <v>0</v>
      </c>
      <c r="T245" s="149">
        <f t="shared" si="47"/>
        <v>0</v>
      </c>
      <c r="U245" s="150">
        <f t="shared" si="48"/>
        <v>0</v>
      </c>
      <c r="V245" s="5" t="e">
        <f>VLOOKUP(A245,#REF!,7,FALSE)-C245</f>
        <v>#REF!</v>
      </c>
      <c r="W245" s="5" t="e">
        <f>SUMIF(#REF!,A245,#REF!)-C245</f>
        <v>#REF!</v>
      </c>
      <c r="X245" s="5"/>
      <c r="Y245" s="5"/>
      <c r="Z245" s="5"/>
      <c r="AA245" s="5"/>
      <c r="AB245" s="5"/>
      <c r="AC245" s="5"/>
      <c r="AD245" s="5"/>
      <c r="AE245" s="5"/>
      <c r="AF245" s="5"/>
      <c r="AG245" s="5"/>
      <c r="AH245" s="5"/>
      <c r="AI245" s="5"/>
      <c r="AJ245" s="5"/>
      <c r="AK245" s="5"/>
    </row>
    <row r="246" spans="1:37" ht="15" customHeight="1">
      <c r="A246" s="70">
        <f>IF(Download!B236="","",Download!B236)</f>
      </c>
      <c r="B246" s="70">
        <f>IF(Download!C236="","",Download!C236)</f>
      </c>
      <c r="C246" s="45"/>
      <c r="D246" s="42"/>
      <c r="E246" s="252">
        <f>IF(ISERROR(VLOOKUP(A246,'Workings Prior Month'!A:N,4,FALSE))=TRUE,0,(VLOOKUP(A246,'Workings Prior Month'!A:N,4,FALSE)))</f>
        <v>0</v>
      </c>
      <c r="F246" s="29" t="str">
        <f t="shared" si="40"/>
        <v>-</v>
      </c>
      <c r="G246" s="39"/>
      <c r="H246" s="39"/>
      <c r="I246" s="40"/>
      <c r="J246" s="47">
        <f t="shared" si="41"/>
        <v>0</v>
      </c>
      <c r="K246" s="37">
        <f t="shared" si="42"/>
        <v>0</v>
      </c>
      <c r="L246" s="43">
        <f>IF(ISERROR(VLOOKUP(A246,'Workings Prior Month'!A:N,10,FALSE))=TRUE,0,(VLOOKUP(A246,'Workings Prior Month'!A:N,10,FALSE)))</f>
        <v>0</v>
      </c>
      <c r="M246" s="43">
        <f>IF(ISERROR(VLOOKUP(A246,'Workings Prior Month'!A:N,11,FALSE))=TRUE,0,(VLOOKUP(A246,'Workings Prior Month'!A:N,11,FALSE)))</f>
        <v>0</v>
      </c>
      <c r="N246" s="49">
        <f t="shared" si="43"/>
        <v>0</v>
      </c>
      <c r="O246" s="137">
        <f>IF(ISERROR(VLOOKUP(A246,'Cross ref Tab'!A:C,3,FALSE)=TRUE),9500,VLOOKUP(A246,'Cross ref Tab'!A:C,3,FALSE))</f>
        <v>0</v>
      </c>
      <c r="P246" s="137">
        <f>IF(A246="","",COUNTIF('Cross ref Tab'!$A$3:$A$311,A246))</f>
      </c>
      <c r="Q246" s="182">
        <f t="shared" si="44"/>
      </c>
      <c r="R246" s="5">
        <f t="shared" si="45"/>
        <v>0</v>
      </c>
      <c r="S246" s="149">
        <f t="shared" si="46"/>
        <v>0</v>
      </c>
      <c r="T246" s="149">
        <f t="shared" si="47"/>
        <v>0</v>
      </c>
      <c r="U246" s="150">
        <f t="shared" si="48"/>
        <v>0</v>
      </c>
      <c r="V246" s="5" t="e">
        <f>VLOOKUP(A246,#REF!,7,FALSE)-C246</f>
        <v>#REF!</v>
      </c>
      <c r="W246" s="5" t="e">
        <f>SUMIF(#REF!,A246,#REF!)-C246</f>
        <v>#REF!</v>
      </c>
      <c r="X246" s="5"/>
      <c r="Y246" s="5"/>
      <c r="Z246" s="5"/>
      <c r="AA246" s="5"/>
      <c r="AB246" s="5"/>
      <c r="AC246" s="5"/>
      <c r="AD246" s="5"/>
      <c r="AE246" s="5"/>
      <c r="AF246" s="5"/>
      <c r="AG246" s="5"/>
      <c r="AH246" s="5"/>
      <c r="AI246" s="5"/>
      <c r="AJ246" s="5"/>
      <c r="AK246" s="5"/>
    </row>
    <row r="247" spans="1:37" ht="15" customHeight="1">
      <c r="A247" s="70">
        <f>IF(Download!B237="","",Download!B237)</f>
      </c>
      <c r="B247" s="70">
        <f>IF(Download!C237="","",Download!C237)</f>
      </c>
      <c r="C247" s="45"/>
      <c r="D247" s="42"/>
      <c r="E247" s="252">
        <f>IF(ISERROR(VLOOKUP(A247,'Workings Prior Month'!A:N,4,FALSE))=TRUE,0,(VLOOKUP(A247,'Workings Prior Month'!A:N,4,FALSE)))</f>
        <v>0</v>
      </c>
      <c r="F247" s="29" t="str">
        <f t="shared" si="40"/>
        <v>-</v>
      </c>
      <c r="G247" s="39"/>
      <c r="H247" s="39"/>
      <c r="I247" s="255"/>
      <c r="J247" s="47">
        <f t="shared" si="41"/>
        <v>0</v>
      </c>
      <c r="K247" s="37">
        <f t="shared" si="42"/>
        <v>0</v>
      </c>
      <c r="L247" s="43">
        <f>IF(ISERROR(VLOOKUP(A247,'Workings Prior Month'!A:N,10,FALSE))=TRUE,0,(VLOOKUP(A247,'Workings Prior Month'!A:N,10,FALSE)))</f>
        <v>0</v>
      </c>
      <c r="M247" s="43">
        <f>IF(ISERROR(VLOOKUP(A247,'Workings Prior Month'!A:N,11,FALSE))=TRUE,0,(VLOOKUP(A247,'Workings Prior Month'!A:N,11,FALSE)))</f>
        <v>0</v>
      </c>
      <c r="N247" s="49">
        <f t="shared" si="43"/>
        <v>0</v>
      </c>
      <c r="O247" s="137">
        <f>IF(ISERROR(VLOOKUP(A247,'Cross ref Tab'!A:C,3,FALSE)=TRUE),9500,VLOOKUP(A247,'Cross ref Tab'!A:C,3,FALSE))</f>
        <v>0</v>
      </c>
      <c r="P247" s="137">
        <f>IF(A247="","",COUNTIF('Cross ref Tab'!$A$3:$A$311,A247))</f>
      </c>
      <c r="Q247" s="182">
        <f t="shared" si="44"/>
      </c>
      <c r="R247" s="5">
        <f t="shared" si="45"/>
        <v>0</v>
      </c>
      <c r="S247" s="149">
        <f t="shared" si="46"/>
        <v>0</v>
      </c>
      <c r="T247" s="149">
        <f t="shared" si="47"/>
        <v>0</v>
      </c>
      <c r="U247" s="150">
        <f t="shared" si="48"/>
        <v>0</v>
      </c>
      <c r="V247" s="5" t="e">
        <f>VLOOKUP(A247,#REF!,7,FALSE)-C247</f>
        <v>#REF!</v>
      </c>
      <c r="W247" s="5" t="e">
        <f>SUMIF(#REF!,A247,#REF!)-C247</f>
        <v>#REF!</v>
      </c>
      <c r="X247" s="5"/>
      <c r="Y247" s="5"/>
      <c r="Z247" s="5"/>
      <c r="AA247" s="5"/>
      <c r="AB247" s="5"/>
      <c r="AC247" s="5"/>
      <c r="AD247" s="5"/>
      <c r="AE247" s="5"/>
      <c r="AF247" s="5"/>
      <c r="AG247" s="5"/>
      <c r="AH247" s="5"/>
      <c r="AI247" s="5"/>
      <c r="AJ247" s="5"/>
      <c r="AK247" s="5"/>
    </row>
    <row r="248" spans="1:37" ht="15" customHeight="1">
      <c r="A248" s="70">
        <f>IF(Download!B238="","",Download!B238)</f>
      </c>
      <c r="B248" s="70">
        <f>IF(Download!C238="","",Download!C238)</f>
      </c>
      <c r="C248" s="45"/>
      <c r="D248" s="42"/>
      <c r="E248" s="252">
        <f>IF(ISERROR(VLOOKUP(A248,'Workings Prior Month'!A:N,4,FALSE))=TRUE,0,(VLOOKUP(A248,'Workings Prior Month'!A:N,4,FALSE)))</f>
        <v>0</v>
      </c>
      <c r="F248" s="29" t="str">
        <f t="shared" si="40"/>
        <v>-</v>
      </c>
      <c r="G248" s="39"/>
      <c r="H248" s="39"/>
      <c r="I248" s="40"/>
      <c r="J248" s="47">
        <f t="shared" si="41"/>
        <v>0</v>
      </c>
      <c r="K248" s="37">
        <f t="shared" si="42"/>
        <v>0</v>
      </c>
      <c r="L248" s="43">
        <f>IF(ISERROR(VLOOKUP(A248,'Workings Prior Month'!A:N,10,FALSE))=TRUE,0,(VLOOKUP(A248,'Workings Prior Month'!A:N,10,FALSE)))</f>
        <v>0</v>
      </c>
      <c r="M248" s="43">
        <f>IF(ISERROR(VLOOKUP(A248,'Workings Prior Month'!A:N,11,FALSE))=TRUE,0,(VLOOKUP(A248,'Workings Prior Month'!A:N,11,FALSE)))</f>
        <v>0</v>
      </c>
      <c r="N248" s="49">
        <f t="shared" si="43"/>
        <v>0</v>
      </c>
      <c r="O248" s="137">
        <f>IF(ISERROR(VLOOKUP(A248,'Cross ref Tab'!A:C,3,FALSE)=TRUE),9500,VLOOKUP(A248,'Cross ref Tab'!A:C,3,FALSE))</f>
        <v>0</v>
      </c>
      <c r="P248" s="137">
        <f>IF(A248="","",COUNTIF('Cross ref Tab'!$A$3:$A$311,A248))</f>
      </c>
      <c r="Q248" s="182">
        <f t="shared" si="44"/>
      </c>
      <c r="R248" s="5">
        <f t="shared" si="45"/>
        <v>0</v>
      </c>
      <c r="S248" s="149">
        <f t="shared" si="46"/>
        <v>0</v>
      </c>
      <c r="T248" s="149">
        <f t="shared" si="47"/>
        <v>0</v>
      </c>
      <c r="U248" s="150">
        <f t="shared" si="48"/>
        <v>0</v>
      </c>
      <c r="V248" s="5" t="e">
        <f>VLOOKUP(A248,#REF!,7,FALSE)-C248</f>
        <v>#REF!</v>
      </c>
      <c r="W248" s="5" t="e">
        <f>SUMIF(#REF!,A248,#REF!)-C248</f>
        <v>#REF!</v>
      </c>
      <c r="X248" s="5"/>
      <c r="Y248" s="5"/>
      <c r="Z248" s="5"/>
      <c r="AA248" s="5"/>
      <c r="AB248" s="5"/>
      <c r="AC248" s="5"/>
      <c r="AD248" s="5"/>
      <c r="AE248" s="5"/>
      <c r="AF248" s="5"/>
      <c r="AG248" s="5"/>
      <c r="AH248" s="5"/>
      <c r="AI248" s="5"/>
      <c r="AJ248" s="5"/>
      <c r="AK248" s="5"/>
    </row>
    <row r="249" spans="1:37" ht="15" customHeight="1">
      <c r="A249" s="70">
        <f>IF(Download!B239="","",Download!B239)</f>
      </c>
      <c r="B249" s="70">
        <f>IF(Download!C239="","",Download!C239)</f>
      </c>
      <c r="C249" s="45"/>
      <c r="D249" s="42"/>
      <c r="E249" s="252">
        <f>IF(ISERROR(VLOOKUP(A249,'Workings Prior Month'!A:N,4,FALSE))=TRUE,0,(VLOOKUP(A249,'Workings Prior Month'!A:N,4,FALSE)))</f>
        <v>0</v>
      </c>
      <c r="F249" s="29" t="str">
        <f t="shared" si="40"/>
        <v>-</v>
      </c>
      <c r="G249" s="39"/>
      <c r="H249" s="39"/>
      <c r="I249" s="255"/>
      <c r="J249" s="47">
        <f t="shared" si="41"/>
        <v>0</v>
      </c>
      <c r="K249" s="37">
        <f t="shared" si="42"/>
        <v>0</v>
      </c>
      <c r="L249" s="43">
        <f>IF(ISERROR(VLOOKUP(A249,'Workings Prior Month'!A:N,10,FALSE))=TRUE,0,(VLOOKUP(A249,'Workings Prior Month'!A:N,10,FALSE)))</f>
        <v>0</v>
      </c>
      <c r="M249" s="43">
        <f>IF(ISERROR(VLOOKUP(A249,'Workings Prior Month'!A:N,11,FALSE))=TRUE,0,(VLOOKUP(A249,'Workings Prior Month'!A:N,11,FALSE)))</f>
        <v>0</v>
      </c>
      <c r="N249" s="49">
        <f t="shared" si="43"/>
        <v>0</v>
      </c>
      <c r="O249" s="137">
        <f>IF(ISERROR(VLOOKUP(A249,'Cross ref Tab'!A:C,3,FALSE)=TRUE),9500,VLOOKUP(A249,'Cross ref Tab'!A:C,3,FALSE))</f>
        <v>0</v>
      </c>
      <c r="P249" s="137">
        <f>IF(A249="","",COUNTIF('Cross ref Tab'!$A$3:$A$311,A249))</f>
      </c>
      <c r="Q249" s="182">
        <f t="shared" si="44"/>
      </c>
      <c r="R249" s="5">
        <f t="shared" si="45"/>
        <v>0</v>
      </c>
      <c r="S249" s="149">
        <f t="shared" si="46"/>
        <v>0</v>
      </c>
      <c r="T249" s="149">
        <f t="shared" si="47"/>
        <v>0</v>
      </c>
      <c r="U249" s="150">
        <f t="shared" si="48"/>
        <v>0</v>
      </c>
      <c r="V249" s="5" t="e">
        <f>VLOOKUP(A249,#REF!,7,FALSE)-C249</f>
        <v>#REF!</v>
      </c>
      <c r="W249" s="5" t="e">
        <f>SUMIF(#REF!,A249,#REF!)-C249</f>
        <v>#REF!</v>
      </c>
      <c r="X249" s="5"/>
      <c r="Y249" s="5"/>
      <c r="Z249" s="5"/>
      <c r="AA249" s="5"/>
      <c r="AB249" s="5"/>
      <c r="AC249" s="5"/>
      <c r="AD249" s="5"/>
      <c r="AE249" s="5"/>
      <c r="AF249" s="5"/>
      <c r="AG249" s="5"/>
      <c r="AH249" s="5"/>
      <c r="AI249" s="5"/>
      <c r="AJ249" s="5"/>
      <c r="AK249" s="5"/>
    </row>
    <row r="250" spans="1:37" ht="15" customHeight="1">
      <c r="A250" s="70">
        <f>IF(Download!B240="","",Download!B240)</f>
      </c>
      <c r="B250" s="70">
        <f>IF(Download!C240="","",Download!C240)</f>
      </c>
      <c r="C250" s="45"/>
      <c r="D250" s="42"/>
      <c r="E250" s="252">
        <f>IF(ISERROR(VLOOKUP(A250,'Workings Prior Month'!A:N,4,FALSE))=TRUE,0,(VLOOKUP(A250,'Workings Prior Month'!A:N,4,FALSE)))</f>
        <v>0</v>
      </c>
      <c r="F250" s="29" t="str">
        <f t="shared" si="40"/>
        <v>-</v>
      </c>
      <c r="G250" s="39"/>
      <c r="H250" s="39"/>
      <c r="I250" s="40"/>
      <c r="J250" s="47">
        <f t="shared" si="41"/>
        <v>0</v>
      </c>
      <c r="K250" s="37">
        <f t="shared" si="42"/>
        <v>0</v>
      </c>
      <c r="L250" s="43">
        <f>IF(ISERROR(VLOOKUP(A250,'Workings Prior Month'!A:N,10,FALSE))=TRUE,0,(VLOOKUP(A250,'Workings Prior Month'!A:N,10,FALSE)))</f>
        <v>0</v>
      </c>
      <c r="M250" s="43">
        <f>IF(ISERROR(VLOOKUP(A250,'Workings Prior Month'!A:N,11,FALSE))=TRUE,0,(VLOOKUP(A250,'Workings Prior Month'!A:N,11,FALSE)))</f>
        <v>0</v>
      </c>
      <c r="N250" s="49">
        <f t="shared" si="43"/>
        <v>0</v>
      </c>
      <c r="O250" s="137">
        <f>IF(ISERROR(VLOOKUP(A250,'Cross ref Tab'!A:C,3,FALSE)=TRUE),9500,VLOOKUP(A250,'Cross ref Tab'!A:C,3,FALSE))</f>
        <v>0</v>
      </c>
      <c r="P250" s="137">
        <f>IF(A250="","",COUNTIF('Cross ref Tab'!$A$3:$A$311,A250))</f>
      </c>
      <c r="Q250" s="182">
        <f t="shared" si="44"/>
      </c>
      <c r="R250" s="5">
        <f t="shared" si="45"/>
        <v>0</v>
      </c>
      <c r="S250" s="149">
        <f t="shared" si="46"/>
        <v>0</v>
      </c>
      <c r="T250" s="149">
        <f t="shared" si="47"/>
        <v>0</v>
      </c>
      <c r="U250" s="150">
        <f t="shared" si="48"/>
        <v>0</v>
      </c>
      <c r="V250" s="5" t="e">
        <f>VLOOKUP(A250,#REF!,7,FALSE)-C250</f>
        <v>#REF!</v>
      </c>
      <c r="W250" s="5" t="e">
        <f>SUMIF(#REF!,A250,#REF!)-C250</f>
        <v>#REF!</v>
      </c>
      <c r="X250" s="5"/>
      <c r="Y250" s="5"/>
      <c r="Z250" s="5"/>
      <c r="AA250" s="5"/>
      <c r="AB250" s="5"/>
      <c r="AC250" s="5"/>
      <c r="AD250" s="5"/>
      <c r="AE250" s="5"/>
      <c r="AF250" s="5"/>
      <c r="AG250" s="5"/>
      <c r="AH250" s="5"/>
      <c r="AI250" s="5"/>
      <c r="AJ250" s="5"/>
      <c r="AK250" s="5"/>
    </row>
    <row r="251" spans="1:37" ht="15" customHeight="1">
      <c r="A251" s="70">
        <f>IF(Download!B241="","",Download!B241)</f>
      </c>
      <c r="B251" s="70">
        <f>IF(Download!C241="","",Download!C241)</f>
      </c>
      <c r="C251" s="45"/>
      <c r="D251" s="42"/>
      <c r="E251" s="252">
        <f>IF(ISERROR(VLOOKUP(A251,'Workings Prior Month'!A:N,4,FALSE))=TRUE,0,(VLOOKUP(A251,'Workings Prior Month'!A:N,4,FALSE)))</f>
        <v>0</v>
      </c>
      <c r="F251" s="29" t="str">
        <f t="shared" si="40"/>
        <v>-</v>
      </c>
      <c r="G251" s="39"/>
      <c r="H251" s="39"/>
      <c r="I251" s="255"/>
      <c r="J251" s="47">
        <f t="shared" si="41"/>
        <v>0</v>
      </c>
      <c r="K251" s="37">
        <f t="shared" si="42"/>
        <v>0</v>
      </c>
      <c r="L251" s="43">
        <f>IF(ISERROR(VLOOKUP(A251,'Workings Prior Month'!A:N,10,FALSE))=TRUE,0,(VLOOKUP(A251,'Workings Prior Month'!A:N,10,FALSE)))</f>
        <v>0</v>
      </c>
      <c r="M251" s="43">
        <f>IF(ISERROR(VLOOKUP(A251,'Workings Prior Month'!A:N,11,FALSE))=TRUE,0,(VLOOKUP(A251,'Workings Prior Month'!A:N,11,FALSE)))</f>
        <v>0</v>
      </c>
      <c r="N251" s="49">
        <f t="shared" si="43"/>
        <v>0</v>
      </c>
      <c r="O251" s="137">
        <f>IF(ISERROR(VLOOKUP(A251,'Cross ref Tab'!A:C,3,FALSE)=TRUE),9500,VLOOKUP(A251,'Cross ref Tab'!A:C,3,FALSE))</f>
        <v>0</v>
      </c>
      <c r="P251" s="137">
        <f>IF(A251="","",COUNTIF('Cross ref Tab'!$A$3:$A$311,A251))</f>
      </c>
      <c r="Q251" s="182">
        <f t="shared" si="44"/>
      </c>
      <c r="R251" s="5">
        <f t="shared" si="45"/>
        <v>0</v>
      </c>
      <c r="S251" s="149">
        <f t="shared" si="46"/>
        <v>0</v>
      </c>
      <c r="T251" s="149">
        <f t="shared" si="47"/>
        <v>0</v>
      </c>
      <c r="U251" s="150">
        <f t="shared" si="48"/>
        <v>0</v>
      </c>
      <c r="V251" s="5" t="e">
        <f>VLOOKUP(A251,#REF!,7,FALSE)-C251</f>
        <v>#REF!</v>
      </c>
      <c r="W251" s="5" t="e">
        <f>SUMIF(#REF!,A251,#REF!)-C251</f>
        <v>#REF!</v>
      </c>
      <c r="X251" s="5"/>
      <c r="Y251" s="5"/>
      <c r="Z251" s="5"/>
      <c r="AA251" s="5"/>
      <c r="AB251" s="5"/>
      <c r="AC251" s="5"/>
      <c r="AD251" s="5"/>
      <c r="AE251" s="5"/>
      <c r="AF251" s="5"/>
      <c r="AG251" s="5"/>
      <c r="AH251" s="5"/>
      <c r="AI251" s="5"/>
      <c r="AJ251" s="5"/>
      <c r="AK251" s="5"/>
    </row>
    <row r="252" spans="1:37" ht="15" customHeight="1">
      <c r="A252" s="70">
        <f>IF(Download!B242="","",Download!B242)</f>
      </c>
      <c r="B252" s="70">
        <f>IF(Download!C242="","",Download!C242)</f>
      </c>
      <c r="C252" s="45"/>
      <c r="D252" s="42"/>
      <c r="E252" s="252">
        <f>IF(ISERROR(VLOOKUP(A252,'Workings Prior Month'!A:N,4,FALSE))=TRUE,0,(VLOOKUP(A252,'Workings Prior Month'!A:N,4,FALSE)))</f>
        <v>0</v>
      </c>
      <c r="F252" s="29" t="str">
        <f t="shared" si="40"/>
        <v>-</v>
      </c>
      <c r="G252" s="39"/>
      <c r="H252" s="39"/>
      <c r="I252" s="40"/>
      <c r="J252" s="47">
        <f t="shared" si="41"/>
        <v>0</v>
      </c>
      <c r="K252" s="37">
        <f t="shared" si="42"/>
        <v>0</v>
      </c>
      <c r="L252" s="43">
        <f>IF(ISERROR(VLOOKUP(A252,'Workings Prior Month'!A:N,10,FALSE))=TRUE,0,(VLOOKUP(A252,'Workings Prior Month'!A:N,10,FALSE)))</f>
        <v>0</v>
      </c>
      <c r="M252" s="43">
        <f>IF(ISERROR(VLOOKUP(A252,'Workings Prior Month'!A:N,11,FALSE))=TRUE,0,(VLOOKUP(A252,'Workings Prior Month'!A:N,11,FALSE)))</f>
        <v>0</v>
      </c>
      <c r="N252" s="49">
        <f t="shared" si="43"/>
        <v>0</v>
      </c>
      <c r="O252" s="137">
        <f>IF(ISERROR(VLOOKUP(A252,'Cross ref Tab'!A:C,3,FALSE)=TRUE),9500,VLOOKUP(A252,'Cross ref Tab'!A:C,3,FALSE))</f>
        <v>0</v>
      </c>
      <c r="P252" s="137">
        <f>IF(A252="","",COUNTIF('Cross ref Tab'!$A$3:$A$311,A252))</f>
      </c>
      <c r="Q252" s="182">
        <f t="shared" si="44"/>
      </c>
      <c r="R252" s="5">
        <f t="shared" si="45"/>
        <v>0</v>
      </c>
      <c r="S252" s="149">
        <f t="shared" si="46"/>
        <v>0</v>
      </c>
      <c r="T252" s="149">
        <f t="shared" si="47"/>
        <v>0</v>
      </c>
      <c r="U252" s="150">
        <f t="shared" si="48"/>
        <v>0</v>
      </c>
      <c r="V252" s="5" t="e">
        <f>VLOOKUP(A252,#REF!,7,FALSE)-C252</f>
        <v>#REF!</v>
      </c>
      <c r="W252" s="5" t="e">
        <f>SUMIF(#REF!,A252,#REF!)-C252</f>
        <v>#REF!</v>
      </c>
      <c r="X252" s="5"/>
      <c r="Y252" s="5"/>
      <c r="Z252" s="5"/>
      <c r="AA252" s="5"/>
      <c r="AB252" s="5"/>
      <c r="AC252" s="5"/>
      <c r="AD252" s="5"/>
      <c r="AE252" s="5"/>
      <c r="AF252" s="5"/>
      <c r="AG252" s="5"/>
      <c r="AH252" s="5"/>
      <c r="AI252" s="5"/>
      <c r="AJ252" s="5"/>
      <c r="AK252" s="5"/>
    </row>
    <row r="253" spans="1:37" ht="15" customHeight="1">
      <c r="A253" s="70">
        <f>IF(Download!B243="","",Download!B243)</f>
      </c>
      <c r="B253" s="70">
        <f>IF(Download!C243="","",Download!C243)</f>
      </c>
      <c r="C253" s="45"/>
      <c r="D253" s="42"/>
      <c r="E253" s="252">
        <f>IF(ISERROR(VLOOKUP(A253,'Workings Prior Month'!A:N,4,FALSE))=TRUE,0,(VLOOKUP(A253,'Workings Prior Month'!A:N,4,FALSE)))</f>
        <v>0</v>
      </c>
      <c r="F253" s="29" t="str">
        <f t="shared" si="40"/>
        <v>-</v>
      </c>
      <c r="G253" s="39"/>
      <c r="H253" s="39"/>
      <c r="I253" s="40"/>
      <c r="J253" s="47">
        <f t="shared" si="41"/>
        <v>0</v>
      </c>
      <c r="K253" s="37">
        <f t="shared" si="42"/>
        <v>0</v>
      </c>
      <c r="L253" s="43">
        <f>IF(ISERROR(VLOOKUP(A253,'Workings Prior Month'!A:N,10,FALSE))=TRUE,0,(VLOOKUP(A253,'Workings Prior Month'!A:N,10,FALSE)))</f>
        <v>0</v>
      </c>
      <c r="M253" s="43">
        <f>IF(ISERROR(VLOOKUP(A253,'Workings Prior Month'!A:N,11,FALSE))=TRUE,0,(VLOOKUP(A253,'Workings Prior Month'!A:N,11,FALSE)))</f>
        <v>0</v>
      </c>
      <c r="N253" s="49">
        <f t="shared" si="43"/>
        <v>0</v>
      </c>
      <c r="O253" s="137">
        <f>IF(ISERROR(VLOOKUP(A253,'Cross ref Tab'!A:C,3,FALSE)=TRUE),9500,VLOOKUP(A253,'Cross ref Tab'!A:C,3,FALSE))</f>
        <v>0</v>
      </c>
      <c r="P253" s="137">
        <f>IF(A253="","",COUNTIF('Cross ref Tab'!$A$3:$A$311,A253))</f>
      </c>
      <c r="Q253" s="182">
        <f t="shared" si="44"/>
      </c>
      <c r="R253" s="5">
        <f t="shared" si="45"/>
        <v>0</v>
      </c>
      <c r="S253" s="149">
        <f t="shared" si="46"/>
        <v>0</v>
      </c>
      <c r="T253" s="149">
        <f t="shared" si="47"/>
        <v>0</v>
      </c>
      <c r="U253" s="150">
        <f t="shared" si="48"/>
        <v>0</v>
      </c>
      <c r="V253" s="5" t="e">
        <f>VLOOKUP(A253,#REF!,7,FALSE)-C253</f>
        <v>#REF!</v>
      </c>
      <c r="W253" s="5" t="e">
        <f>SUMIF(#REF!,A253,#REF!)-C253</f>
        <v>#REF!</v>
      </c>
      <c r="X253" s="5"/>
      <c r="Y253" s="5"/>
      <c r="Z253" s="5"/>
      <c r="AA253" s="5"/>
      <c r="AB253" s="5"/>
      <c r="AC253" s="5"/>
      <c r="AD253" s="5"/>
      <c r="AE253" s="5"/>
      <c r="AF253" s="5"/>
      <c r="AG253" s="5"/>
      <c r="AH253" s="5"/>
      <c r="AI253" s="5"/>
      <c r="AJ253" s="5"/>
      <c r="AK253" s="5"/>
    </row>
    <row r="254" spans="1:37" ht="15" customHeight="1">
      <c r="A254" s="70">
        <f>IF(Download!B244="","",Download!B244)</f>
      </c>
      <c r="B254" s="70">
        <f>IF(Download!C244="","",Download!C244)</f>
      </c>
      <c r="C254" s="45"/>
      <c r="D254" s="42"/>
      <c r="E254" s="252">
        <f>IF(ISERROR(VLOOKUP(A254,'Workings Prior Month'!A:N,4,FALSE))=TRUE,0,(VLOOKUP(A254,'Workings Prior Month'!A:N,4,FALSE)))</f>
        <v>0</v>
      </c>
      <c r="F254" s="29" t="str">
        <f t="shared" si="40"/>
        <v>-</v>
      </c>
      <c r="G254" s="39"/>
      <c r="H254" s="39"/>
      <c r="I254" s="40"/>
      <c r="J254" s="47">
        <f t="shared" si="41"/>
        <v>0</v>
      </c>
      <c r="K254" s="37">
        <f t="shared" si="42"/>
        <v>0</v>
      </c>
      <c r="L254" s="43">
        <f>IF(ISERROR(VLOOKUP(A254,'Workings Prior Month'!A:N,10,FALSE))=TRUE,0,(VLOOKUP(A254,'Workings Prior Month'!A:N,10,FALSE)))</f>
        <v>0</v>
      </c>
      <c r="M254" s="43">
        <f>IF(ISERROR(VLOOKUP(A254,'Workings Prior Month'!A:N,11,FALSE))=TRUE,0,(VLOOKUP(A254,'Workings Prior Month'!A:N,11,FALSE)))</f>
        <v>0</v>
      </c>
      <c r="N254" s="49">
        <f t="shared" si="43"/>
        <v>0</v>
      </c>
      <c r="O254" s="137">
        <f>IF(ISERROR(VLOOKUP(A254,'Cross ref Tab'!A:C,3,FALSE)=TRUE),9500,VLOOKUP(A254,'Cross ref Tab'!A:C,3,FALSE))</f>
        <v>0</v>
      </c>
      <c r="P254" s="137">
        <f>IF(A254="","",COUNTIF('Cross ref Tab'!$A$3:$A$311,A254))</f>
      </c>
      <c r="Q254" s="182">
        <f t="shared" si="44"/>
      </c>
      <c r="R254" s="5">
        <f t="shared" si="45"/>
        <v>0</v>
      </c>
      <c r="S254" s="149">
        <f t="shared" si="46"/>
        <v>0</v>
      </c>
      <c r="T254" s="149">
        <f t="shared" si="47"/>
        <v>0</v>
      </c>
      <c r="U254" s="150">
        <f t="shared" si="48"/>
        <v>0</v>
      </c>
      <c r="V254" s="5" t="e">
        <f>VLOOKUP(A254,#REF!,7,FALSE)-C254</f>
        <v>#REF!</v>
      </c>
      <c r="W254" s="5" t="e">
        <f>SUMIF(#REF!,A254,#REF!)-C254</f>
        <v>#REF!</v>
      </c>
      <c r="X254" s="5"/>
      <c r="Y254" s="5"/>
      <c r="Z254" s="5"/>
      <c r="AA254" s="5"/>
      <c r="AB254" s="5"/>
      <c r="AC254" s="5"/>
      <c r="AD254" s="5"/>
      <c r="AE254" s="5"/>
      <c r="AF254" s="5"/>
      <c r="AG254" s="5"/>
      <c r="AH254" s="5"/>
      <c r="AI254" s="5"/>
      <c r="AJ254" s="5"/>
      <c r="AK254" s="5"/>
    </row>
    <row r="255" spans="1:37" ht="15" customHeight="1">
      <c r="A255" s="70">
        <f>IF(Download!B245="","",Download!B245)</f>
      </c>
      <c r="B255" s="70">
        <f>IF(Download!C245="","",Download!C245)</f>
      </c>
      <c r="C255" s="45"/>
      <c r="D255" s="42"/>
      <c r="E255" s="252">
        <f>IF(ISERROR(VLOOKUP(A255,'Workings Prior Month'!A:N,4,FALSE))=TRUE,0,(VLOOKUP(A255,'Workings Prior Month'!A:N,4,FALSE)))</f>
        <v>0</v>
      </c>
      <c r="F255" s="29" t="str">
        <f t="shared" si="40"/>
        <v>-</v>
      </c>
      <c r="G255" s="39"/>
      <c r="H255" s="39"/>
      <c r="I255" s="40"/>
      <c r="J255" s="47">
        <f t="shared" si="41"/>
        <v>0</v>
      </c>
      <c r="K255" s="37">
        <f t="shared" si="42"/>
        <v>0</v>
      </c>
      <c r="L255" s="43">
        <f>IF(ISERROR(VLOOKUP(A255,'Workings Prior Month'!A:N,10,FALSE))=TRUE,0,(VLOOKUP(A255,'Workings Prior Month'!A:N,10,FALSE)))</f>
        <v>0</v>
      </c>
      <c r="M255" s="43">
        <f>IF(ISERROR(VLOOKUP(A255,'Workings Prior Month'!A:N,11,FALSE))=TRUE,0,(VLOOKUP(A255,'Workings Prior Month'!A:N,11,FALSE)))</f>
        <v>0</v>
      </c>
      <c r="N255" s="49">
        <f t="shared" si="43"/>
        <v>0</v>
      </c>
      <c r="O255" s="137">
        <f>IF(ISERROR(VLOOKUP(A255,'Cross ref Tab'!A:C,3,FALSE)=TRUE),9500,VLOOKUP(A255,'Cross ref Tab'!A:C,3,FALSE))</f>
        <v>0</v>
      </c>
      <c r="P255" s="137">
        <f>IF(A255="","",COUNTIF('Cross ref Tab'!$A$3:$A$311,A255))</f>
      </c>
      <c r="Q255" s="182">
        <f t="shared" si="44"/>
      </c>
      <c r="R255" s="5">
        <f t="shared" si="45"/>
        <v>0</v>
      </c>
      <c r="S255" s="149">
        <f t="shared" si="46"/>
        <v>0</v>
      </c>
      <c r="T255" s="149">
        <f t="shared" si="47"/>
        <v>0</v>
      </c>
      <c r="U255" s="150">
        <f t="shared" si="48"/>
        <v>0</v>
      </c>
      <c r="V255" s="5" t="e">
        <f>VLOOKUP(A255,#REF!,7,FALSE)-C255</f>
        <v>#REF!</v>
      </c>
      <c r="W255" s="5" t="e">
        <f>SUMIF(#REF!,A255,#REF!)-C255</f>
        <v>#REF!</v>
      </c>
      <c r="X255" s="5"/>
      <c r="Y255" s="5"/>
      <c r="Z255" s="5"/>
      <c r="AA255" s="5"/>
      <c r="AB255" s="5"/>
      <c r="AC255" s="5"/>
      <c r="AD255" s="5"/>
      <c r="AE255" s="5"/>
      <c r="AF255" s="5"/>
      <c r="AG255" s="5"/>
      <c r="AH255" s="5"/>
      <c r="AI255" s="5"/>
      <c r="AJ255" s="5"/>
      <c r="AK255" s="5"/>
    </row>
    <row r="256" spans="1:37" ht="15" customHeight="1">
      <c r="A256" s="70">
        <f>IF(Download!B246="","",Download!B246)</f>
      </c>
      <c r="B256" s="70">
        <f>IF(Download!C246="","",Download!C246)</f>
      </c>
      <c r="C256" s="45"/>
      <c r="D256" s="42"/>
      <c r="E256" s="252">
        <f>IF(ISERROR(VLOOKUP(A256,'Workings Prior Month'!A:N,4,FALSE))=TRUE,0,(VLOOKUP(A256,'Workings Prior Month'!A:N,4,FALSE)))</f>
        <v>0</v>
      </c>
      <c r="F256" s="29" t="str">
        <f t="shared" si="40"/>
        <v>-</v>
      </c>
      <c r="G256" s="39"/>
      <c r="H256" s="39"/>
      <c r="I256" s="40"/>
      <c r="J256" s="47">
        <f t="shared" si="41"/>
        <v>0</v>
      </c>
      <c r="K256" s="37">
        <f t="shared" si="42"/>
        <v>0</v>
      </c>
      <c r="L256" s="43">
        <f>IF(ISERROR(VLOOKUP(A256,'Workings Prior Month'!A:N,10,FALSE))=TRUE,0,(VLOOKUP(A256,'Workings Prior Month'!A:N,10,FALSE)))</f>
        <v>0</v>
      </c>
      <c r="M256" s="43">
        <f>IF(ISERROR(VLOOKUP(A256,'Workings Prior Month'!A:N,11,FALSE))=TRUE,0,(VLOOKUP(A256,'Workings Prior Month'!A:N,11,FALSE)))</f>
        <v>0</v>
      </c>
      <c r="N256" s="49">
        <f t="shared" si="43"/>
        <v>0</v>
      </c>
      <c r="O256" s="137">
        <f>IF(ISERROR(VLOOKUP(A256,'Cross ref Tab'!A:C,3,FALSE)=TRUE),9500,VLOOKUP(A256,'Cross ref Tab'!A:C,3,FALSE))</f>
        <v>0</v>
      </c>
      <c r="P256" s="137">
        <f>IF(A256="","",COUNTIF('Cross ref Tab'!$A$3:$A$311,A256))</f>
      </c>
      <c r="Q256" s="182">
        <f t="shared" si="44"/>
      </c>
      <c r="R256" s="5">
        <f t="shared" si="45"/>
        <v>0</v>
      </c>
      <c r="S256" s="149">
        <f t="shared" si="46"/>
        <v>0</v>
      </c>
      <c r="T256" s="149">
        <f t="shared" si="47"/>
        <v>0</v>
      </c>
      <c r="U256" s="150">
        <f t="shared" si="48"/>
        <v>0</v>
      </c>
      <c r="V256" s="5" t="e">
        <f>VLOOKUP(A256,#REF!,7,FALSE)-C256</f>
        <v>#REF!</v>
      </c>
      <c r="W256" s="5" t="e">
        <f>SUMIF(#REF!,A256,#REF!)-C256</f>
        <v>#REF!</v>
      </c>
      <c r="X256" s="5"/>
      <c r="Y256" s="5"/>
      <c r="Z256" s="5"/>
      <c r="AA256" s="5"/>
      <c r="AB256" s="5"/>
      <c r="AC256" s="5"/>
      <c r="AD256" s="5"/>
      <c r="AE256" s="5"/>
      <c r="AF256" s="5"/>
      <c r="AG256" s="5"/>
      <c r="AH256" s="5"/>
      <c r="AI256" s="5"/>
      <c r="AJ256" s="5"/>
      <c r="AK256" s="5"/>
    </row>
    <row r="257" spans="1:37" ht="15" customHeight="1">
      <c r="A257" s="70">
        <f>IF(Download!B247="","",Download!B247)</f>
      </c>
      <c r="B257" s="70">
        <f>IF(Download!C247="","",Download!C247)</f>
      </c>
      <c r="C257" s="45"/>
      <c r="D257" s="42"/>
      <c r="E257" s="252">
        <f>IF(ISERROR(VLOOKUP(A257,'Workings Prior Month'!A:N,4,FALSE))=TRUE,0,(VLOOKUP(A257,'Workings Prior Month'!A:N,4,FALSE)))</f>
        <v>0</v>
      </c>
      <c r="F257" s="29" t="str">
        <f t="shared" si="40"/>
        <v>-</v>
      </c>
      <c r="G257" s="39"/>
      <c r="H257" s="39"/>
      <c r="I257" s="40"/>
      <c r="J257" s="47">
        <f t="shared" si="41"/>
        <v>0</v>
      </c>
      <c r="K257" s="37">
        <f t="shared" si="42"/>
        <v>0</v>
      </c>
      <c r="L257" s="43">
        <f>IF(ISERROR(VLOOKUP(A257,'Workings Prior Month'!A:N,10,FALSE))=TRUE,0,(VLOOKUP(A257,'Workings Prior Month'!A:N,10,FALSE)))</f>
        <v>0</v>
      </c>
      <c r="M257" s="43">
        <f>IF(ISERROR(VLOOKUP(A257,'Workings Prior Month'!A:N,11,FALSE))=TRUE,0,(VLOOKUP(A257,'Workings Prior Month'!A:N,11,FALSE)))</f>
        <v>0</v>
      </c>
      <c r="N257" s="49">
        <f t="shared" si="43"/>
        <v>0</v>
      </c>
      <c r="O257" s="137">
        <f>IF(ISERROR(VLOOKUP(A257,'Cross ref Tab'!A:C,3,FALSE)=TRUE),9500,VLOOKUP(A257,'Cross ref Tab'!A:C,3,FALSE))</f>
        <v>0</v>
      </c>
      <c r="P257" s="137">
        <f>IF(A257="","",COUNTIF('Cross ref Tab'!$A$3:$A$311,A257))</f>
      </c>
      <c r="Q257" s="182">
        <f t="shared" si="44"/>
      </c>
      <c r="R257" s="5">
        <f t="shared" si="45"/>
        <v>0</v>
      </c>
      <c r="S257" s="149">
        <f t="shared" si="46"/>
        <v>0</v>
      </c>
      <c r="T257" s="149">
        <f t="shared" si="47"/>
        <v>0</v>
      </c>
      <c r="U257" s="150">
        <f t="shared" si="48"/>
        <v>0</v>
      </c>
      <c r="V257" s="5" t="e">
        <f>VLOOKUP(A257,#REF!,7,FALSE)-C257</f>
        <v>#REF!</v>
      </c>
      <c r="W257" s="5" t="e">
        <f>SUMIF(#REF!,A257,#REF!)-C257</f>
        <v>#REF!</v>
      </c>
      <c r="X257" s="5"/>
      <c r="Y257" s="5"/>
      <c r="Z257" s="5"/>
      <c r="AA257" s="5"/>
      <c r="AB257" s="5"/>
      <c r="AC257" s="5"/>
      <c r="AD257" s="5"/>
      <c r="AE257" s="5"/>
      <c r="AF257" s="5"/>
      <c r="AG257" s="5"/>
      <c r="AH257" s="5"/>
      <c r="AI257" s="5"/>
      <c r="AJ257" s="5"/>
      <c r="AK257" s="5"/>
    </row>
    <row r="258" spans="1:37" ht="15" customHeight="1">
      <c r="A258" s="70">
        <f>IF(Download!B248="","",Download!B248)</f>
      </c>
      <c r="B258" s="70">
        <f>IF(Download!C248="","",Download!C248)</f>
      </c>
      <c r="C258" s="45"/>
      <c r="D258" s="42"/>
      <c r="E258" s="252">
        <f>IF(ISERROR(VLOOKUP(A258,'Workings Prior Month'!A:N,4,FALSE))=TRUE,0,(VLOOKUP(A258,'Workings Prior Month'!A:N,4,FALSE)))</f>
        <v>0</v>
      </c>
      <c r="F258" s="29" t="str">
        <f t="shared" si="40"/>
        <v>-</v>
      </c>
      <c r="G258" s="39"/>
      <c r="H258" s="39"/>
      <c r="I258" s="40"/>
      <c r="J258" s="47">
        <f t="shared" si="41"/>
        <v>0</v>
      </c>
      <c r="K258" s="37">
        <f t="shared" si="42"/>
        <v>0</v>
      </c>
      <c r="L258" s="43">
        <f>IF(ISERROR(VLOOKUP(A258,'Workings Prior Month'!A:N,10,FALSE))=TRUE,0,(VLOOKUP(A258,'Workings Prior Month'!A:N,10,FALSE)))</f>
        <v>0</v>
      </c>
      <c r="M258" s="43">
        <f>IF(ISERROR(VLOOKUP(A258,'Workings Prior Month'!A:N,11,FALSE))=TRUE,0,(VLOOKUP(A258,'Workings Prior Month'!A:N,11,FALSE)))</f>
        <v>0</v>
      </c>
      <c r="N258" s="49">
        <f t="shared" si="43"/>
        <v>0</v>
      </c>
      <c r="O258" s="137">
        <f>IF(ISERROR(VLOOKUP(A258,'Cross ref Tab'!A:C,3,FALSE)=TRUE),9500,VLOOKUP(A258,'Cross ref Tab'!A:C,3,FALSE))</f>
        <v>0</v>
      </c>
      <c r="P258" s="137">
        <f>IF(A258="","",COUNTIF('Cross ref Tab'!$A$3:$A$311,A258))</f>
      </c>
      <c r="Q258" s="182">
        <f t="shared" si="44"/>
      </c>
      <c r="R258" s="5">
        <f t="shared" si="45"/>
        <v>0</v>
      </c>
      <c r="S258" s="149">
        <f t="shared" si="46"/>
        <v>0</v>
      </c>
      <c r="T258" s="149">
        <f t="shared" si="47"/>
        <v>0</v>
      </c>
      <c r="U258" s="150">
        <f t="shared" si="48"/>
        <v>0</v>
      </c>
      <c r="V258" s="5" t="e">
        <f>VLOOKUP(A258,#REF!,7,FALSE)-C258</f>
        <v>#REF!</v>
      </c>
      <c r="W258" s="5" t="e">
        <f>SUMIF(#REF!,A258,#REF!)-C258</f>
        <v>#REF!</v>
      </c>
      <c r="X258" s="5"/>
      <c r="Y258" s="5"/>
      <c r="Z258" s="5"/>
      <c r="AA258" s="5"/>
      <c r="AB258" s="5"/>
      <c r="AC258" s="5"/>
      <c r="AD258" s="5"/>
      <c r="AE258" s="5"/>
      <c r="AF258" s="5"/>
      <c r="AG258" s="5"/>
      <c r="AH258" s="5"/>
      <c r="AI258" s="5"/>
      <c r="AJ258" s="5"/>
      <c r="AK258" s="5"/>
    </row>
    <row r="259" spans="1:37" ht="15" customHeight="1">
      <c r="A259" s="70">
        <f>IF(Download!B249="","",Download!B249)</f>
      </c>
      <c r="B259" s="70">
        <f>IF(Download!C249="","",Download!C249)</f>
      </c>
      <c r="C259" s="45"/>
      <c r="D259" s="42"/>
      <c r="E259" s="252">
        <f>IF(ISERROR(VLOOKUP(A259,'Workings Prior Month'!A:N,4,FALSE))=TRUE,0,(VLOOKUP(A259,'Workings Prior Month'!A:N,4,FALSE)))</f>
        <v>0</v>
      </c>
      <c r="F259" s="29" t="str">
        <f t="shared" si="40"/>
        <v>-</v>
      </c>
      <c r="G259" s="39"/>
      <c r="H259" s="39"/>
      <c r="I259" s="40"/>
      <c r="J259" s="47">
        <f t="shared" si="41"/>
        <v>0</v>
      </c>
      <c r="K259" s="37">
        <f t="shared" si="42"/>
        <v>0</v>
      </c>
      <c r="L259" s="43">
        <f>IF(ISERROR(VLOOKUP(A259,'Workings Prior Month'!A:N,10,FALSE))=TRUE,0,(VLOOKUP(A259,'Workings Prior Month'!A:N,10,FALSE)))</f>
        <v>0</v>
      </c>
      <c r="M259" s="43">
        <f>IF(ISERROR(VLOOKUP(A259,'Workings Prior Month'!A:N,11,FALSE))=TRUE,0,(VLOOKUP(A259,'Workings Prior Month'!A:N,11,FALSE)))</f>
        <v>0</v>
      </c>
      <c r="N259" s="49">
        <f t="shared" si="43"/>
        <v>0</v>
      </c>
      <c r="O259" s="137">
        <f>IF(ISERROR(VLOOKUP(A259,'Cross ref Tab'!A:C,3,FALSE)=TRUE),9500,VLOOKUP(A259,'Cross ref Tab'!A:C,3,FALSE))</f>
        <v>0</v>
      </c>
      <c r="P259" s="137">
        <f>IF(A259="","",COUNTIF('Cross ref Tab'!$A$3:$A$311,A259))</f>
      </c>
      <c r="Q259" s="182">
        <f t="shared" si="44"/>
      </c>
      <c r="R259" s="5">
        <f t="shared" si="45"/>
        <v>0</v>
      </c>
      <c r="S259" s="149">
        <f t="shared" si="46"/>
        <v>0</v>
      </c>
      <c r="T259" s="149">
        <f t="shared" si="47"/>
        <v>0</v>
      </c>
      <c r="U259" s="150">
        <f t="shared" si="48"/>
        <v>0</v>
      </c>
      <c r="V259" s="5" t="e">
        <f>VLOOKUP(A259,#REF!,7,FALSE)-C259</f>
        <v>#REF!</v>
      </c>
      <c r="W259" s="5" t="e">
        <f>SUMIF(#REF!,A259,#REF!)-C259</f>
        <v>#REF!</v>
      </c>
      <c r="X259" s="5"/>
      <c r="Y259" s="5"/>
      <c r="Z259" s="5"/>
      <c r="AA259" s="5"/>
      <c r="AB259" s="5"/>
      <c r="AC259" s="5"/>
      <c r="AD259" s="5"/>
      <c r="AE259" s="5"/>
      <c r="AF259" s="5"/>
      <c r="AG259" s="5"/>
      <c r="AH259" s="5"/>
      <c r="AI259" s="5"/>
      <c r="AJ259" s="5"/>
      <c r="AK259" s="5"/>
    </row>
    <row r="260" spans="1:37" ht="15" customHeight="1">
      <c r="A260" s="70">
        <f>IF(Download!B250="","",Download!B250)</f>
      </c>
      <c r="B260" s="70">
        <f>IF(Download!C250="","",Download!C250)</f>
      </c>
      <c r="C260" s="45"/>
      <c r="D260" s="42"/>
      <c r="E260" s="252">
        <f>IF(ISERROR(VLOOKUP(A260,'Workings Prior Month'!A:N,4,FALSE))=TRUE,0,(VLOOKUP(A260,'Workings Prior Month'!A:N,4,FALSE)))</f>
        <v>0</v>
      </c>
      <c r="F260" s="29" t="str">
        <f t="shared" si="40"/>
        <v>-</v>
      </c>
      <c r="G260" s="39"/>
      <c r="H260" s="39"/>
      <c r="I260" s="40"/>
      <c r="J260" s="47">
        <f t="shared" si="41"/>
        <v>0</v>
      </c>
      <c r="K260" s="37">
        <f t="shared" si="42"/>
        <v>0</v>
      </c>
      <c r="L260" s="43">
        <f>IF(ISERROR(VLOOKUP(A260,'Workings Prior Month'!A:N,10,FALSE))=TRUE,0,(VLOOKUP(A260,'Workings Prior Month'!A:N,10,FALSE)))</f>
        <v>0</v>
      </c>
      <c r="M260" s="43">
        <f>IF(ISERROR(VLOOKUP(A260,'Workings Prior Month'!A:N,11,FALSE))=TRUE,0,(VLOOKUP(A260,'Workings Prior Month'!A:N,11,FALSE)))</f>
        <v>0</v>
      </c>
      <c r="N260" s="49">
        <f t="shared" si="43"/>
        <v>0</v>
      </c>
      <c r="O260" s="137">
        <f>IF(ISERROR(VLOOKUP(A260,'Cross ref Tab'!A:C,3,FALSE)=TRUE),9500,VLOOKUP(A260,'Cross ref Tab'!A:C,3,FALSE))</f>
        <v>0</v>
      </c>
      <c r="P260" s="137">
        <f>IF(A260="","",COUNTIF('Cross ref Tab'!$A$3:$A$311,A260))</f>
      </c>
      <c r="Q260" s="182">
        <f t="shared" si="44"/>
      </c>
      <c r="R260" s="5">
        <f t="shared" si="45"/>
        <v>0</v>
      </c>
      <c r="S260" s="149">
        <f t="shared" si="46"/>
        <v>0</v>
      </c>
      <c r="T260" s="149">
        <f t="shared" si="47"/>
        <v>0</v>
      </c>
      <c r="U260" s="150">
        <f t="shared" si="48"/>
        <v>0</v>
      </c>
      <c r="V260" s="5" t="e">
        <f>VLOOKUP(A260,#REF!,7,FALSE)-C260</f>
        <v>#REF!</v>
      </c>
      <c r="W260" s="5" t="e">
        <f>SUMIF(#REF!,A260,#REF!)-C260</f>
        <v>#REF!</v>
      </c>
      <c r="X260" s="5"/>
      <c r="Y260" s="5"/>
      <c r="Z260" s="5"/>
      <c r="AA260" s="5"/>
      <c r="AB260" s="5"/>
      <c r="AC260" s="5"/>
      <c r="AD260" s="5"/>
      <c r="AE260" s="5"/>
      <c r="AF260" s="5"/>
      <c r="AG260" s="5"/>
      <c r="AH260" s="5"/>
      <c r="AI260" s="5"/>
      <c r="AJ260" s="5"/>
      <c r="AK260" s="5"/>
    </row>
    <row r="261" spans="1:37" ht="15" customHeight="1">
      <c r="A261" s="70">
        <f>IF(Download!B251="","",Download!B251)</f>
      </c>
      <c r="B261" s="70">
        <f>IF(Download!C251="","",Download!C251)</f>
      </c>
      <c r="C261" s="45"/>
      <c r="D261" s="42"/>
      <c r="E261" s="252">
        <f>IF(ISERROR(VLOOKUP(A261,'Workings Prior Month'!A:N,4,FALSE))=TRUE,0,(VLOOKUP(A261,'Workings Prior Month'!A:N,4,FALSE)))</f>
        <v>0</v>
      </c>
      <c r="F261" s="29" t="str">
        <f t="shared" si="40"/>
        <v>-</v>
      </c>
      <c r="G261" s="39"/>
      <c r="H261" s="39"/>
      <c r="I261" s="40"/>
      <c r="J261" s="47">
        <f t="shared" si="41"/>
        <v>0</v>
      </c>
      <c r="K261" s="37">
        <f t="shared" si="42"/>
        <v>0</v>
      </c>
      <c r="L261" s="43">
        <f>IF(ISERROR(VLOOKUP(A261,'Workings Prior Month'!A:N,10,FALSE))=TRUE,0,(VLOOKUP(A261,'Workings Prior Month'!A:N,10,FALSE)))</f>
        <v>0</v>
      </c>
      <c r="M261" s="43">
        <f>IF(ISERROR(VLOOKUP(A261,'Workings Prior Month'!A:N,11,FALSE))=TRUE,0,(VLOOKUP(A261,'Workings Prior Month'!A:N,11,FALSE)))</f>
        <v>0</v>
      </c>
      <c r="N261" s="49">
        <f t="shared" si="43"/>
        <v>0</v>
      </c>
      <c r="O261" s="137">
        <f>IF(ISERROR(VLOOKUP(A261,'Cross ref Tab'!A:C,3,FALSE)=TRUE),9500,VLOOKUP(A261,'Cross ref Tab'!A:C,3,FALSE))</f>
        <v>0</v>
      </c>
      <c r="P261" s="137">
        <f>IF(A261="","",COUNTIF('Cross ref Tab'!$A$3:$A$311,A261))</f>
      </c>
      <c r="Q261" s="182">
        <f t="shared" si="44"/>
      </c>
      <c r="R261" s="5">
        <f t="shared" si="45"/>
        <v>0</v>
      </c>
      <c r="S261" s="149">
        <f t="shared" si="46"/>
        <v>0</v>
      </c>
      <c r="T261" s="149">
        <f t="shared" si="47"/>
        <v>0</v>
      </c>
      <c r="U261" s="150">
        <f t="shared" si="48"/>
        <v>0</v>
      </c>
      <c r="V261" s="5" t="e">
        <f>VLOOKUP(A261,#REF!,7,FALSE)-C261</f>
        <v>#REF!</v>
      </c>
      <c r="W261" s="5" t="e">
        <f>SUMIF(#REF!,A261,#REF!)-C261</f>
        <v>#REF!</v>
      </c>
      <c r="X261" s="5"/>
      <c r="Y261" s="5"/>
      <c r="Z261" s="5"/>
      <c r="AA261" s="5"/>
      <c r="AB261" s="5"/>
      <c r="AC261" s="5"/>
      <c r="AD261" s="5"/>
      <c r="AE261" s="5"/>
      <c r="AF261" s="5"/>
      <c r="AG261" s="5"/>
      <c r="AH261" s="5"/>
      <c r="AI261" s="5"/>
      <c r="AJ261" s="5"/>
      <c r="AK261" s="5"/>
    </row>
    <row r="262" spans="1:37" ht="15" customHeight="1">
      <c r="A262" s="70">
        <f>IF(Download!B252="","",Download!B252)</f>
      </c>
      <c r="B262" s="70">
        <f>IF(Download!C252="","",Download!C252)</f>
      </c>
      <c r="C262" s="45"/>
      <c r="D262" s="42"/>
      <c r="E262" s="252">
        <f>IF(ISERROR(VLOOKUP(A262,'Workings Prior Month'!A:N,4,FALSE))=TRUE,0,(VLOOKUP(A262,'Workings Prior Month'!A:N,4,FALSE)))</f>
        <v>0</v>
      </c>
      <c r="F262" s="29" t="str">
        <f t="shared" si="40"/>
        <v>-</v>
      </c>
      <c r="G262" s="39"/>
      <c r="H262" s="39"/>
      <c r="I262" s="40"/>
      <c r="J262" s="47">
        <f t="shared" si="41"/>
        <v>0</v>
      </c>
      <c r="K262" s="37">
        <f t="shared" si="42"/>
        <v>0</v>
      </c>
      <c r="L262" s="43">
        <f>IF(ISERROR(VLOOKUP(A262,'Workings Prior Month'!A:N,10,FALSE))=TRUE,0,(VLOOKUP(A262,'Workings Prior Month'!A:N,10,FALSE)))</f>
        <v>0</v>
      </c>
      <c r="M262" s="43">
        <f>IF(ISERROR(VLOOKUP(A262,'Workings Prior Month'!A:N,11,FALSE))=TRUE,0,(VLOOKUP(A262,'Workings Prior Month'!A:N,11,FALSE)))</f>
        <v>0</v>
      </c>
      <c r="N262" s="49">
        <f t="shared" si="43"/>
        <v>0</v>
      </c>
      <c r="O262" s="137">
        <f>IF(ISERROR(VLOOKUP(A262,'Cross ref Tab'!A:C,3,FALSE)=TRUE),9500,VLOOKUP(A262,'Cross ref Tab'!A:C,3,FALSE))</f>
        <v>0</v>
      </c>
      <c r="P262" s="137">
        <f>IF(A262="","",COUNTIF('Cross ref Tab'!$A$3:$A$311,A262))</f>
      </c>
      <c r="Q262" s="182">
        <f t="shared" si="44"/>
      </c>
      <c r="R262" s="5">
        <f t="shared" si="45"/>
        <v>0</v>
      </c>
      <c r="S262" s="149">
        <f t="shared" si="46"/>
        <v>0</v>
      </c>
      <c r="T262" s="149">
        <f t="shared" si="47"/>
        <v>0</v>
      </c>
      <c r="U262" s="150">
        <f t="shared" si="48"/>
        <v>0</v>
      </c>
      <c r="V262" s="5" t="e">
        <f>VLOOKUP(A262,#REF!,7,FALSE)-C262</f>
        <v>#REF!</v>
      </c>
      <c r="W262" s="5" t="e">
        <f>SUMIF(#REF!,A262,#REF!)-C262</f>
        <v>#REF!</v>
      </c>
      <c r="X262" s="5"/>
      <c r="Y262" s="5"/>
      <c r="Z262" s="5"/>
      <c r="AA262" s="5"/>
      <c r="AB262" s="5"/>
      <c r="AC262" s="5"/>
      <c r="AD262" s="5"/>
      <c r="AE262" s="5"/>
      <c r="AF262" s="5"/>
      <c r="AG262" s="5"/>
      <c r="AH262" s="5"/>
      <c r="AI262" s="5"/>
      <c r="AJ262" s="5"/>
      <c r="AK262" s="5"/>
    </row>
    <row r="263" spans="1:37" ht="15" customHeight="1">
      <c r="A263" s="70">
        <f>IF(Download!B253="","",Download!B253)</f>
      </c>
      <c r="B263" s="70">
        <f>IF(Download!C253="","",Download!C253)</f>
      </c>
      <c r="C263" s="45"/>
      <c r="D263" s="42"/>
      <c r="E263" s="252">
        <f>IF(ISERROR(VLOOKUP(A263,'Workings Prior Month'!A:N,4,FALSE))=TRUE,0,(VLOOKUP(A263,'Workings Prior Month'!A:N,4,FALSE)))</f>
        <v>0</v>
      </c>
      <c r="F263" s="29" t="str">
        <f t="shared" si="40"/>
        <v>-</v>
      </c>
      <c r="G263" s="39"/>
      <c r="H263" s="39"/>
      <c r="I263" s="40"/>
      <c r="J263" s="47">
        <f t="shared" si="41"/>
        <v>0</v>
      </c>
      <c r="K263" s="37">
        <f t="shared" si="42"/>
        <v>0</v>
      </c>
      <c r="L263" s="43">
        <f>IF(ISERROR(VLOOKUP(A263,'Workings Prior Month'!A:N,10,FALSE))=TRUE,0,(VLOOKUP(A263,'Workings Prior Month'!A:N,10,FALSE)))</f>
        <v>0</v>
      </c>
      <c r="M263" s="43">
        <f>IF(ISERROR(VLOOKUP(A263,'Workings Prior Month'!A:N,11,FALSE))=TRUE,0,(VLOOKUP(A263,'Workings Prior Month'!A:N,11,FALSE)))</f>
        <v>0</v>
      </c>
      <c r="N263" s="49">
        <f t="shared" si="43"/>
        <v>0</v>
      </c>
      <c r="O263" s="137">
        <f>IF(ISERROR(VLOOKUP(A263,'Cross ref Tab'!A:C,3,FALSE)=TRUE),9500,VLOOKUP(A263,'Cross ref Tab'!A:C,3,FALSE))</f>
        <v>0</v>
      </c>
      <c r="P263" s="137">
        <f>IF(A263="","",COUNTIF('Cross ref Tab'!$A$3:$A$311,A263))</f>
      </c>
      <c r="Q263" s="182">
        <f t="shared" si="44"/>
      </c>
      <c r="R263" s="5">
        <f t="shared" si="45"/>
        <v>0</v>
      </c>
      <c r="S263" s="149">
        <f t="shared" si="46"/>
        <v>0</v>
      </c>
      <c r="T263" s="149">
        <f t="shared" si="47"/>
        <v>0</v>
      </c>
      <c r="U263" s="150">
        <f t="shared" si="48"/>
        <v>0</v>
      </c>
      <c r="V263" s="5" t="e">
        <f>VLOOKUP(A263,#REF!,7,FALSE)-C263</f>
        <v>#REF!</v>
      </c>
      <c r="W263" s="5" t="e">
        <f>SUMIF(#REF!,A263,#REF!)-C263</f>
        <v>#REF!</v>
      </c>
      <c r="X263" s="5"/>
      <c r="Y263" s="5"/>
      <c r="Z263" s="5"/>
      <c r="AA263" s="5"/>
      <c r="AB263" s="5"/>
      <c r="AC263" s="5"/>
      <c r="AD263" s="5"/>
      <c r="AE263" s="5"/>
      <c r="AF263" s="5"/>
      <c r="AG263" s="5"/>
      <c r="AH263" s="5"/>
      <c r="AI263" s="5"/>
      <c r="AJ263" s="5"/>
      <c r="AK263" s="5"/>
    </row>
    <row r="264" spans="1:37" ht="15" customHeight="1">
      <c r="A264" s="70">
        <f>IF(Download!B254="","",Download!B254)</f>
      </c>
      <c r="B264" s="70">
        <f>IF(Download!C254="","",Download!C254)</f>
      </c>
      <c r="C264" s="45"/>
      <c r="D264" s="42"/>
      <c r="E264" s="252">
        <f>IF(ISERROR(VLOOKUP(A264,'Workings Prior Month'!A:N,4,FALSE))=TRUE,0,(VLOOKUP(A264,'Workings Prior Month'!A:N,4,FALSE)))</f>
        <v>0</v>
      </c>
      <c r="F264" s="29" t="str">
        <f t="shared" si="40"/>
        <v>-</v>
      </c>
      <c r="G264" s="39"/>
      <c r="H264" s="39"/>
      <c r="I264" s="40"/>
      <c r="J264" s="47">
        <f t="shared" si="41"/>
        <v>0</v>
      </c>
      <c r="K264" s="37">
        <f t="shared" si="42"/>
        <v>0</v>
      </c>
      <c r="L264" s="43">
        <f>IF(ISERROR(VLOOKUP(A264,'Workings Prior Month'!A:N,10,FALSE))=TRUE,0,(VLOOKUP(A264,'Workings Prior Month'!A:N,10,FALSE)))</f>
        <v>0</v>
      </c>
      <c r="M264" s="43">
        <f>IF(ISERROR(VLOOKUP(A264,'Workings Prior Month'!A:N,11,FALSE))=TRUE,0,(VLOOKUP(A264,'Workings Prior Month'!A:N,11,FALSE)))</f>
        <v>0</v>
      </c>
      <c r="N264" s="49">
        <f t="shared" si="43"/>
        <v>0</v>
      </c>
      <c r="O264" s="137">
        <f>IF(ISERROR(VLOOKUP(A264,'Cross ref Tab'!A:C,3,FALSE)=TRUE),9500,VLOOKUP(A264,'Cross ref Tab'!A:C,3,FALSE))</f>
        <v>0</v>
      </c>
      <c r="P264" s="137">
        <f>IF(A264="","",COUNTIF('Cross ref Tab'!$A$3:$A$311,A264))</f>
      </c>
      <c r="Q264" s="182">
        <f t="shared" si="44"/>
      </c>
      <c r="R264" s="5">
        <f t="shared" si="45"/>
        <v>0</v>
      </c>
      <c r="S264" s="149">
        <f t="shared" si="46"/>
        <v>0</v>
      </c>
      <c r="T264" s="149">
        <f t="shared" si="47"/>
        <v>0</v>
      </c>
      <c r="U264" s="150">
        <f t="shared" si="48"/>
        <v>0</v>
      </c>
      <c r="V264" s="5" t="e">
        <f>VLOOKUP(A264,#REF!,7,FALSE)-C264</f>
        <v>#REF!</v>
      </c>
      <c r="W264" s="5" t="e">
        <f>SUMIF(#REF!,A264,#REF!)-C264</f>
        <v>#REF!</v>
      </c>
      <c r="X264" s="5"/>
      <c r="Y264" s="5"/>
      <c r="Z264" s="5"/>
      <c r="AA264" s="5"/>
      <c r="AB264" s="5"/>
      <c r="AC264" s="5"/>
      <c r="AD264" s="5"/>
      <c r="AE264" s="5"/>
      <c r="AF264" s="5"/>
      <c r="AG264" s="5"/>
      <c r="AH264" s="5"/>
      <c r="AI264" s="5"/>
      <c r="AJ264" s="5"/>
      <c r="AK264" s="5"/>
    </row>
    <row r="265" spans="1:37" ht="15" customHeight="1">
      <c r="A265" s="70">
        <f>IF(Download!B255="","",Download!B255)</f>
      </c>
      <c r="B265" s="70">
        <f>IF(Download!C255="","",Download!C255)</f>
      </c>
      <c r="C265" s="45"/>
      <c r="D265" s="42"/>
      <c r="E265" s="252">
        <f>IF(ISERROR(VLOOKUP(A265,'Workings Prior Month'!A:N,4,FALSE))=TRUE,0,(VLOOKUP(A265,'Workings Prior Month'!A:N,4,FALSE)))</f>
        <v>0</v>
      </c>
      <c r="F265" s="29" t="str">
        <f t="shared" si="40"/>
        <v>-</v>
      </c>
      <c r="G265" s="39"/>
      <c r="H265" s="39"/>
      <c r="I265" s="40"/>
      <c r="J265" s="47">
        <f t="shared" si="41"/>
        <v>0</v>
      </c>
      <c r="K265" s="37">
        <f t="shared" si="42"/>
        <v>0</v>
      </c>
      <c r="L265" s="43">
        <f>IF(ISERROR(VLOOKUP(A265,'Workings Prior Month'!A:N,10,FALSE))=TRUE,0,(VLOOKUP(A265,'Workings Prior Month'!A:N,10,FALSE)))</f>
        <v>0</v>
      </c>
      <c r="M265" s="43">
        <f>IF(ISERROR(VLOOKUP(A265,'Workings Prior Month'!A:N,11,FALSE))=TRUE,0,(VLOOKUP(A265,'Workings Prior Month'!A:N,11,FALSE)))</f>
        <v>0</v>
      </c>
      <c r="N265" s="49">
        <f t="shared" si="43"/>
        <v>0</v>
      </c>
      <c r="O265" s="137">
        <f>IF(ISERROR(VLOOKUP(A265,'Cross ref Tab'!A:C,3,FALSE)=TRUE),9500,VLOOKUP(A265,'Cross ref Tab'!A:C,3,FALSE))</f>
        <v>0</v>
      </c>
      <c r="P265" s="137">
        <f>IF(A265="","",COUNTIF('Cross ref Tab'!$A$3:$A$311,A265))</f>
      </c>
      <c r="Q265" s="182">
        <f t="shared" si="44"/>
      </c>
      <c r="R265" s="5">
        <f t="shared" si="45"/>
        <v>0</v>
      </c>
      <c r="S265" s="149">
        <f t="shared" si="46"/>
        <v>0</v>
      </c>
      <c r="T265" s="149">
        <f t="shared" si="47"/>
        <v>0</v>
      </c>
      <c r="U265" s="150">
        <f t="shared" si="48"/>
        <v>0</v>
      </c>
      <c r="V265" s="5" t="e">
        <f>VLOOKUP(A265,#REF!,7,FALSE)-C265</f>
        <v>#REF!</v>
      </c>
      <c r="W265" s="5" t="e">
        <f>SUMIF(#REF!,A265,#REF!)-C265</f>
        <v>#REF!</v>
      </c>
      <c r="X265" s="5"/>
      <c r="Y265" s="5"/>
      <c r="Z265" s="5"/>
      <c r="AA265" s="5"/>
      <c r="AB265" s="5"/>
      <c r="AC265" s="5"/>
      <c r="AD265" s="5"/>
      <c r="AE265" s="5"/>
      <c r="AF265" s="5"/>
      <c r="AG265" s="5"/>
      <c r="AH265" s="5"/>
      <c r="AI265" s="5"/>
      <c r="AJ265" s="5"/>
      <c r="AK265" s="5"/>
    </row>
    <row r="266" spans="1:37" ht="15" customHeight="1">
      <c r="A266" s="70">
        <f>IF(Download!B256="","",Download!B256)</f>
      </c>
      <c r="B266" s="70">
        <f>IF(Download!C256="","",Download!C256)</f>
      </c>
      <c r="C266" s="45"/>
      <c r="D266" s="42"/>
      <c r="E266" s="252">
        <f>IF(ISERROR(VLOOKUP(A266,'Workings Prior Month'!A:N,4,FALSE))=TRUE,0,(VLOOKUP(A266,'Workings Prior Month'!A:N,4,FALSE)))</f>
        <v>0</v>
      </c>
      <c r="F266" s="29" t="str">
        <f t="shared" si="40"/>
        <v>-</v>
      </c>
      <c r="G266" s="39"/>
      <c r="H266" s="39"/>
      <c r="I266" s="40"/>
      <c r="J266" s="47">
        <f t="shared" si="41"/>
        <v>0</v>
      </c>
      <c r="K266" s="37">
        <f t="shared" si="42"/>
        <v>0</v>
      </c>
      <c r="L266" s="43">
        <f>IF(ISERROR(VLOOKUP(A266,'Workings Prior Month'!A:N,10,FALSE))=TRUE,0,(VLOOKUP(A266,'Workings Prior Month'!A:N,10,FALSE)))</f>
        <v>0</v>
      </c>
      <c r="M266" s="43">
        <f>IF(ISERROR(VLOOKUP(A266,'Workings Prior Month'!A:N,11,FALSE))=TRUE,0,(VLOOKUP(A266,'Workings Prior Month'!A:N,11,FALSE)))</f>
        <v>0</v>
      </c>
      <c r="N266" s="49">
        <f t="shared" si="43"/>
        <v>0</v>
      </c>
      <c r="O266" s="137">
        <f>IF(ISERROR(VLOOKUP(A266,'Cross ref Tab'!A:C,3,FALSE)=TRUE),9500,VLOOKUP(A266,'Cross ref Tab'!A:C,3,FALSE))</f>
        <v>0</v>
      </c>
      <c r="P266" s="137">
        <f>IF(A266="","",COUNTIF('Cross ref Tab'!$A$3:$A$311,A266))</f>
      </c>
      <c r="Q266" s="182">
        <f t="shared" si="44"/>
      </c>
      <c r="R266" s="5">
        <f t="shared" si="45"/>
        <v>0</v>
      </c>
      <c r="S266" s="149">
        <f t="shared" si="46"/>
        <v>0</v>
      </c>
      <c r="T266" s="149">
        <f t="shared" si="47"/>
        <v>0</v>
      </c>
      <c r="U266" s="150">
        <f t="shared" si="48"/>
        <v>0</v>
      </c>
      <c r="V266" s="5" t="e">
        <f>VLOOKUP(A266,#REF!,7,FALSE)-C266</f>
        <v>#REF!</v>
      </c>
      <c r="W266" s="5" t="e">
        <f>SUMIF(#REF!,A266,#REF!)-C266</f>
        <v>#REF!</v>
      </c>
      <c r="X266" s="5"/>
      <c r="Y266" s="5"/>
      <c r="Z266" s="5"/>
      <c r="AA266" s="5"/>
      <c r="AB266" s="5"/>
      <c r="AC266" s="5"/>
      <c r="AD266" s="5"/>
      <c r="AE266" s="5"/>
      <c r="AF266" s="5"/>
      <c r="AG266" s="5"/>
      <c r="AH266" s="5"/>
      <c r="AI266" s="5"/>
      <c r="AJ266" s="5"/>
      <c r="AK266" s="5"/>
    </row>
    <row r="267" spans="1:37" ht="15" customHeight="1">
      <c r="A267" s="70">
        <f>IF(Download!B257="","",Download!B257)</f>
      </c>
      <c r="B267" s="70">
        <f>IF(Download!C257="","",Download!C257)</f>
      </c>
      <c r="C267" s="45"/>
      <c r="D267" s="42"/>
      <c r="E267" s="252">
        <f>IF(ISERROR(VLOOKUP(A267,'Workings Prior Month'!A:N,4,FALSE))=TRUE,0,(VLOOKUP(A267,'Workings Prior Month'!A:N,4,FALSE)))</f>
        <v>0</v>
      </c>
      <c r="F267" s="29" t="str">
        <f t="shared" si="40"/>
        <v>-</v>
      </c>
      <c r="G267" s="39"/>
      <c r="H267" s="39"/>
      <c r="I267" s="40"/>
      <c r="J267" s="47">
        <f t="shared" si="41"/>
        <v>0</v>
      </c>
      <c r="K267" s="37">
        <f t="shared" si="42"/>
        <v>0</v>
      </c>
      <c r="L267" s="43">
        <f>IF(ISERROR(VLOOKUP(A267,'Workings Prior Month'!A:N,10,FALSE))=TRUE,0,(VLOOKUP(A267,'Workings Prior Month'!A:N,10,FALSE)))</f>
        <v>0</v>
      </c>
      <c r="M267" s="43">
        <f>IF(ISERROR(VLOOKUP(A267,'Workings Prior Month'!A:N,11,FALSE))=TRUE,0,(VLOOKUP(A267,'Workings Prior Month'!A:N,11,FALSE)))</f>
        <v>0</v>
      </c>
      <c r="N267" s="49">
        <f t="shared" si="43"/>
        <v>0</v>
      </c>
      <c r="O267" s="137">
        <f>IF(ISERROR(VLOOKUP(A267,'Cross ref Tab'!A:C,3,FALSE)=TRUE),9500,VLOOKUP(A267,'Cross ref Tab'!A:C,3,FALSE))</f>
        <v>0</v>
      </c>
      <c r="P267" s="137">
        <f>IF(A267="","",COUNTIF('Cross ref Tab'!$A$3:$A$311,A267))</f>
      </c>
      <c r="Q267" s="182">
        <f t="shared" si="44"/>
      </c>
      <c r="R267" s="5">
        <f t="shared" si="45"/>
        <v>0</v>
      </c>
      <c r="S267" s="149">
        <f t="shared" si="46"/>
        <v>0</v>
      </c>
      <c r="T267" s="149">
        <f t="shared" si="47"/>
        <v>0</v>
      </c>
      <c r="U267" s="150">
        <f t="shared" si="48"/>
        <v>0</v>
      </c>
      <c r="V267" s="5" t="e">
        <f>VLOOKUP(A267,#REF!,7,FALSE)-C267</f>
        <v>#REF!</v>
      </c>
      <c r="W267" s="5" t="e">
        <f>SUMIF(#REF!,A267,#REF!)-C267</f>
        <v>#REF!</v>
      </c>
      <c r="X267" s="5"/>
      <c r="Y267" s="5"/>
      <c r="Z267" s="5"/>
      <c r="AA267" s="5"/>
      <c r="AB267" s="5"/>
      <c r="AC267" s="5"/>
      <c r="AD267" s="5"/>
      <c r="AE267" s="5"/>
      <c r="AF267" s="5"/>
      <c r="AG267" s="5"/>
      <c r="AH267" s="5"/>
      <c r="AI267" s="5"/>
      <c r="AJ267" s="5"/>
      <c r="AK267" s="5"/>
    </row>
    <row r="268" spans="1:37" ht="15" customHeight="1">
      <c r="A268" s="70">
        <f>IF(Download!B258="","",Download!B258)</f>
      </c>
      <c r="B268" s="70">
        <f>IF(Download!C258="","",Download!C258)</f>
      </c>
      <c r="C268" s="45"/>
      <c r="D268" s="42"/>
      <c r="E268" s="252">
        <f>IF(ISERROR(VLOOKUP(A268,'Workings Prior Month'!A:N,4,FALSE))=TRUE,0,(VLOOKUP(A268,'Workings Prior Month'!A:N,4,FALSE)))</f>
        <v>0</v>
      </c>
      <c r="F268" s="29" t="str">
        <f t="shared" si="40"/>
        <v>-</v>
      </c>
      <c r="G268" s="39"/>
      <c r="H268" s="39"/>
      <c r="I268" s="40"/>
      <c r="J268" s="47">
        <f t="shared" si="41"/>
        <v>0</v>
      </c>
      <c r="K268" s="37">
        <f t="shared" si="42"/>
        <v>0</v>
      </c>
      <c r="L268" s="43">
        <f>IF(ISERROR(VLOOKUP(A268,'Workings Prior Month'!A:N,10,FALSE))=TRUE,0,(VLOOKUP(A268,'Workings Prior Month'!A:N,10,FALSE)))</f>
        <v>0</v>
      </c>
      <c r="M268" s="43">
        <f>IF(ISERROR(VLOOKUP(A268,'Workings Prior Month'!A:N,11,FALSE))=TRUE,0,(VLOOKUP(A268,'Workings Prior Month'!A:N,11,FALSE)))</f>
        <v>0</v>
      </c>
      <c r="N268" s="49">
        <f t="shared" si="43"/>
        <v>0</v>
      </c>
      <c r="O268" s="137">
        <f>IF(ISERROR(VLOOKUP(A268,'Cross ref Tab'!A:C,3,FALSE)=TRUE),9500,VLOOKUP(A268,'Cross ref Tab'!A:C,3,FALSE))</f>
        <v>0</v>
      </c>
      <c r="P268" s="137">
        <f>IF(A268="","",COUNTIF('Cross ref Tab'!$A$3:$A$311,A268))</f>
      </c>
      <c r="Q268" s="182">
        <f t="shared" si="44"/>
      </c>
      <c r="R268" s="5">
        <f t="shared" si="45"/>
        <v>0</v>
      </c>
      <c r="S268" s="149">
        <f t="shared" si="46"/>
        <v>0</v>
      </c>
      <c r="T268" s="149">
        <f t="shared" si="47"/>
        <v>0</v>
      </c>
      <c r="U268" s="150">
        <f t="shared" si="48"/>
        <v>0</v>
      </c>
      <c r="V268" s="5" t="e">
        <f>VLOOKUP(A268,#REF!,7,FALSE)-C268</f>
        <v>#REF!</v>
      </c>
      <c r="W268" s="5" t="e">
        <f>SUMIF(#REF!,A268,#REF!)-C268</f>
        <v>#REF!</v>
      </c>
      <c r="X268" s="5"/>
      <c r="Y268" s="5"/>
      <c r="Z268" s="5"/>
      <c r="AA268" s="5"/>
      <c r="AB268" s="5"/>
      <c r="AC268" s="5"/>
      <c r="AD268" s="5"/>
      <c r="AE268" s="5"/>
      <c r="AF268" s="5"/>
      <c r="AG268" s="5"/>
      <c r="AH268" s="5"/>
      <c r="AI268" s="5"/>
      <c r="AJ268" s="5"/>
      <c r="AK268" s="5"/>
    </row>
    <row r="269" spans="1:37" ht="15" customHeight="1">
      <c r="A269" s="70">
        <f>IF(Download!B259="","",Download!B259)</f>
      </c>
      <c r="B269" s="70">
        <f>IF(Download!C259="","",Download!C259)</f>
      </c>
      <c r="C269" s="45"/>
      <c r="D269" s="42"/>
      <c r="E269" s="252">
        <f>IF(ISERROR(VLOOKUP(A269,'Workings Prior Month'!A:N,4,FALSE))=TRUE,0,(VLOOKUP(A269,'Workings Prior Month'!A:N,4,FALSE)))</f>
        <v>0</v>
      </c>
      <c r="F269" s="29" t="str">
        <f t="shared" si="40"/>
        <v>-</v>
      </c>
      <c r="G269" s="39"/>
      <c r="H269" s="39"/>
      <c r="I269" s="40"/>
      <c r="J269" s="47">
        <f t="shared" si="41"/>
        <v>0</v>
      </c>
      <c r="K269" s="37">
        <f t="shared" si="42"/>
        <v>0</v>
      </c>
      <c r="L269" s="43">
        <f>IF(ISERROR(VLOOKUP(A269,'Workings Prior Month'!A:N,10,FALSE))=TRUE,0,(VLOOKUP(A269,'Workings Prior Month'!A:N,10,FALSE)))</f>
        <v>0</v>
      </c>
      <c r="M269" s="43">
        <f>IF(ISERROR(VLOOKUP(A269,'Workings Prior Month'!A:N,11,FALSE))=TRUE,0,(VLOOKUP(A269,'Workings Prior Month'!A:N,11,FALSE)))</f>
        <v>0</v>
      </c>
      <c r="N269" s="49">
        <f t="shared" si="43"/>
        <v>0</v>
      </c>
      <c r="O269" s="137">
        <f>IF(ISERROR(VLOOKUP(A269,'Cross ref Tab'!A:C,3,FALSE)=TRUE),9500,VLOOKUP(A269,'Cross ref Tab'!A:C,3,FALSE))</f>
        <v>0</v>
      </c>
      <c r="P269" s="137">
        <f>IF(A269="","",COUNTIF('Cross ref Tab'!$A$3:$A$311,A269))</f>
      </c>
      <c r="Q269" s="182">
        <f t="shared" si="44"/>
      </c>
      <c r="R269" s="5">
        <f t="shared" si="45"/>
        <v>0</v>
      </c>
      <c r="S269" s="149">
        <f t="shared" si="46"/>
        <v>0</v>
      </c>
      <c r="T269" s="149">
        <f t="shared" si="47"/>
        <v>0</v>
      </c>
      <c r="U269" s="150">
        <f t="shared" si="48"/>
        <v>0</v>
      </c>
      <c r="V269" s="5" t="e">
        <f>VLOOKUP(A269,#REF!,7,FALSE)-C269</f>
        <v>#REF!</v>
      </c>
      <c r="W269" s="5" t="e">
        <f>SUMIF(#REF!,A269,#REF!)-C269</f>
        <v>#REF!</v>
      </c>
      <c r="X269" s="5"/>
      <c r="Y269" s="5"/>
      <c r="Z269" s="5"/>
      <c r="AA269" s="5"/>
      <c r="AB269" s="5"/>
      <c r="AC269" s="5"/>
      <c r="AD269" s="5"/>
      <c r="AE269" s="5"/>
      <c r="AF269" s="5"/>
      <c r="AG269" s="5"/>
      <c r="AH269" s="5"/>
      <c r="AI269" s="5"/>
      <c r="AJ269" s="5"/>
      <c r="AK269" s="5"/>
    </row>
    <row r="270" spans="1:37" ht="15" customHeight="1">
      <c r="A270" s="70">
        <f>IF(Download!B260="","",Download!B260)</f>
      </c>
      <c r="B270" s="70">
        <f>IF(Download!C260="","",Download!C260)</f>
      </c>
      <c r="C270" s="45"/>
      <c r="D270" s="42"/>
      <c r="E270" s="252">
        <f>IF(ISERROR(VLOOKUP(A270,'Workings Prior Month'!A:N,4,FALSE))=TRUE,0,(VLOOKUP(A270,'Workings Prior Month'!A:N,4,FALSE)))</f>
        <v>0</v>
      </c>
      <c r="F270" s="29" t="str">
        <f t="shared" si="40"/>
        <v>-</v>
      </c>
      <c r="G270" s="39"/>
      <c r="H270" s="39"/>
      <c r="I270" s="40"/>
      <c r="J270" s="47">
        <f t="shared" si="41"/>
        <v>0</v>
      </c>
      <c r="K270" s="37">
        <f t="shared" si="42"/>
        <v>0</v>
      </c>
      <c r="L270" s="43">
        <f>IF(ISERROR(VLOOKUP(A270,'Workings Prior Month'!A:N,10,FALSE))=TRUE,0,(VLOOKUP(A270,'Workings Prior Month'!A:N,10,FALSE)))</f>
        <v>0</v>
      </c>
      <c r="M270" s="43">
        <f>IF(ISERROR(VLOOKUP(A270,'Workings Prior Month'!A:N,11,FALSE))=TRUE,0,(VLOOKUP(A270,'Workings Prior Month'!A:N,11,FALSE)))</f>
        <v>0</v>
      </c>
      <c r="N270" s="49">
        <f t="shared" si="43"/>
        <v>0</v>
      </c>
      <c r="O270" s="137">
        <f>IF(ISERROR(VLOOKUP(A270,'Cross ref Tab'!A:C,3,FALSE)=TRUE),9500,VLOOKUP(A270,'Cross ref Tab'!A:C,3,FALSE))</f>
        <v>0</v>
      </c>
      <c r="P270" s="137">
        <f>IF(A270="","",COUNTIF('Cross ref Tab'!$A$3:$A$311,A270))</f>
      </c>
      <c r="Q270" s="182">
        <f t="shared" si="44"/>
      </c>
      <c r="R270" s="5">
        <f t="shared" si="45"/>
        <v>0</v>
      </c>
      <c r="S270" s="149">
        <f t="shared" si="46"/>
        <v>0</v>
      </c>
      <c r="T270" s="149">
        <f t="shared" si="47"/>
        <v>0</v>
      </c>
      <c r="U270" s="150">
        <f t="shared" si="48"/>
        <v>0</v>
      </c>
      <c r="V270" s="5" t="e">
        <f>VLOOKUP(A270,#REF!,7,FALSE)-C270</f>
        <v>#REF!</v>
      </c>
      <c r="W270" s="5" t="e">
        <f>SUMIF(#REF!,A270,#REF!)-C270</f>
        <v>#REF!</v>
      </c>
      <c r="X270" s="5"/>
      <c r="Y270" s="5"/>
      <c r="Z270" s="5"/>
      <c r="AA270" s="5"/>
      <c r="AB270" s="5"/>
      <c r="AC270" s="5"/>
      <c r="AD270" s="5"/>
      <c r="AE270" s="5"/>
      <c r="AF270" s="5"/>
      <c r="AG270" s="5"/>
      <c r="AH270" s="5"/>
      <c r="AI270" s="5"/>
      <c r="AJ270" s="5"/>
      <c r="AK270" s="5"/>
    </row>
    <row r="271" spans="1:37" ht="15" customHeight="1">
      <c r="A271" s="70">
        <f>IF(Download!B261="","",Download!B261)</f>
      </c>
      <c r="B271" s="70">
        <f>IF(Download!C261="","",Download!C261)</f>
      </c>
      <c r="C271" s="45"/>
      <c r="D271" s="42"/>
      <c r="E271" s="252">
        <f>IF(ISERROR(VLOOKUP(A271,'Workings Prior Month'!A:N,4,FALSE))=TRUE,0,(VLOOKUP(A271,'Workings Prior Month'!A:N,4,FALSE)))</f>
        <v>0</v>
      </c>
      <c r="F271" s="29" t="str">
        <f t="shared" si="40"/>
        <v>-</v>
      </c>
      <c r="G271" s="39"/>
      <c r="H271" s="39"/>
      <c r="I271" s="40"/>
      <c r="J271" s="47">
        <f t="shared" si="41"/>
        <v>0</v>
      </c>
      <c r="K271" s="37">
        <f t="shared" si="42"/>
        <v>0</v>
      </c>
      <c r="L271" s="43">
        <f>IF(ISERROR(VLOOKUP(A271,'Workings Prior Month'!A:N,10,FALSE))=TRUE,0,(VLOOKUP(A271,'Workings Prior Month'!A:N,10,FALSE)))</f>
        <v>0</v>
      </c>
      <c r="M271" s="43">
        <f>IF(ISERROR(VLOOKUP(A271,'Workings Prior Month'!A:N,11,FALSE))=TRUE,0,(VLOOKUP(A271,'Workings Prior Month'!A:N,11,FALSE)))</f>
        <v>0</v>
      </c>
      <c r="N271" s="49">
        <f t="shared" si="43"/>
        <v>0</v>
      </c>
      <c r="O271" s="137">
        <f>IF(ISERROR(VLOOKUP(A271,'Cross ref Tab'!A:C,3,FALSE)=TRUE),9500,VLOOKUP(A271,'Cross ref Tab'!A:C,3,FALSE))</f>
        <v>0</v>
      </c>
      <c r="P271" s="137">
        <f>IF(A271="","",COUNTIF('Cross ref Tab'!$A$3:$A$311,A271))</f>
      </c>
      <c r="Q271" s="182">
        <f t="shared" si="44"/>
      </c>
      <c r="R271" s="5">
        <f t="shared" si="45"/>
        <v>0</v>
      </c>
      <c r="S271" s="149">
        <f t="shared" si="46"/>
        <v>0</v>
      </c>
      <c r="T271" s="149">
        <f t="shared" si="47"/>
        <v>0</v>
      </c>
      <c r="U271" s="150">
        <f t="shared" si="48"/>
        <v>0</v>
      </c>
      <c r="V271" s="5" t="e">
        <f>VLOOKUP(A271,#REF!,7,FALSE)-C271</f>
        <v>#REF!</v>
      </c>
      <c r="W271" s="5" t="e">
        <f>SUMIF(#REF!,A271,#REF!)-C271</f>
        <v>#REF!</v>
      </c>
      <c r="X271" s="5"/>
      <c r="Y271" s="5"/>
      <c r="Z271" s="5"/>
      <c r="AA271" s="5"/>
      <c r="AB271" s="5"/>
      <c r="AC271" s="5"/>
      <c r="AD271" s="5"/>
      <c r="AE271" s="5"/>
      <c r="AF271" s="5"/>
      <c r="AG271" s="5"/>
      <c r="AH271" s="5"/>
      <c r="AI271" s="5"/>
      <c r="AJ271" s="5"/>
      <c r="AK271" s="5"/>
    </row>
    <row r="272" spans="1:37" ht="15" customHeight="1">
      <c r="A272" s="70">
        <f>IF(Download!B262="","",Download!B262)</f>
      </c>
      <c r="B272" s="70">
        <f>IF(Download!C262="","",Download!C262)</f>
      </c>
      <c r="C272" s="45"/>
      <c r="D272" s="42"/>
      <c r="E272" s="252">
        <f>IF(ISERROR(VLOOKUP(A272,'Workings Prior Month'!A:N,4,FALSE))=TRUE,0,(VLOOKUP(A272,'Workings Prior Month'!A:N,4,FALSE)))</f>
        <v>0</v>
      </c>
      <c r="F272" s="29" t="str">
        <f t="shared" si="40"/>
        <v>-</v>
      </c>
      <c r="G272" s="39"/>
      <c r="H272" s="39"/>
      <c r="I272" s="40"/>
      <c r="J272" s="47">
        <f t="shared" si="41"/>
        <v>0</v>
      </c>
      <c r="K272" s="37">
        <f t="shared" si="42"/>
        <v>0</v>
      </c>
      <c r="L272" s="43">
        <f>IF(ISERROR(VLOOKUP(A272,'Workings Prior Month'!A:N,10,FALSE))=TRUE,0,(VLOOKUP(A272,'Workings Prior Month'!A:N,10,FALSE)))</f>
        <v>0</v>
      </c>
      <c r="M272" s="43">
        <f>IF(ISERROR(VLOOKUP(A272,'Workings Prior Month'!A:N,11,FALSE))=TRUE,0,(VLOOKUP(A272,'Workings Prior Month'!A:N,11,FALSE)))</f>
        <v>0</v>
      </c>
      <c r="N272" s="49">
        <f t="shared" si="43"/>
        <v>0</v>
      </c>
      <c r="O272" s="137">
        <f>IF(ISERROR(VLOOKUP(A272,'Cross ref Tab'!A:C,3,FALSE)=TRUE),9500,VLOOKUP(A272,'Cross ref Tab'!A:C,3,FALSE))</f>
        <v>0</v>
      </c>
      <c r="P272" s="137">
        <f>IF(A272="","",COUNTIF('Cross ref Tab'!$A$3:$A$311,A272))</f>
      </c>
      <c r="Q272" s="182">
        <f t="shared" si="44"/>
      </c>
      <c r="R272" s="5">
        <f t="shared" si="45"/>
        <v>0</v>
      </c>
      <c r="S272" s="149">
        <f t="shared" si="46"/>
        <v>0</v>
      </c>
      <c r="T272" s="149">
        <f t="shared" si="47"/>
        <v>0</v>
      </c>
      <c r="U272" s="150">
        <f t="shared" si="48"/>
        <v>0</v>
      </c>
      <c r="V272" s="5" t="e">
        <f>VLOOKUP(A272,#REF!,7,FALSE)-C272</f>
        <v>#REF!</v>
      </c>
      <c r="W272" s="5" t="e">
        <f>SUMIF(#REF!,A272,#REF!)-C272</f>
        <v>#REF!</v>
      </c>
      <c r="X272" s="5"/>
      <c r="Y272" s="5"/>
      <c r="Z272" s="5"/>
      <c r="AA272" s="5"/>
      <c r="AB272" s="5"/>
      <c r="AC272" s="5"/>
      <c r="AD272" s="5"/>
      <c r="AE272" s="5"/>
      <c r="AF272" s="5"/>
      <c r="AG272" s="5"/>
      <c r="AH272" s="5"/>
      <c r="AI272" s="5"/>
      <c r="AJ272" s="5"/>
      <c r="AK272" s="5"/>
    </row>
    <row r="273" spans="1:37" ht="15" customHeight="1">
      <c r="A273" s="70">
        <f>IF(Download!B263="","",Download!B263)</f>
      </c>
      <c r="B273" s="70">
        <f>IF(Download!C263="","",Download!C263)</f>
      </c>
      <c r="C273" s="45"/>
      <c r="D273" s="42"/>
      <c r="E273" s="252">
        <f>IF(ISERROR(VLOOKUP(A273,'Workings Prior Month'!A:N,4,FALSE))=TRUE,0,(VLOOKUP(A273,'Workings Prior Month'!A:N,4,FALSE)))</f>
        <v>0</v>
      </c>
      <c r="F273" s="29" t="str">
        <f t="shared" si="40"/>
        <v>-</v>
      </c>
      <c r="G273" s="39"/>
      <c r="H273" s="39"/>
      <c r="I273" s="40"/>
      <c r="J273" s="47">
        <f t="shared" si="41"/>
        <v>0</v>
      </c>
      <c r="K273" s="37">
        <f t="shared" si="42"/>
        <v>0</v>
      </c>
      <c r="L273" s="43">
        <f>IF(ISERROR(VLOOKUP(A273,'Workings Prior Month'!A:N,10,FALSE))=TRUE,0,(VLOOKUP(A273,'Workings Prior Month'!A:N,10,FALSE)))</f>
        <v>0</v>
      </c>
      <c r="M273" s="43">
        <f>IF(ISERROR(VLOOKUP(A273,'Workings Prior Month'!A:N,11,FALSE))=TRUE,0,(VLOOKUP(A273,'Workings Prior Month'!A:N,11,FALSE)))</f>
        <v>0</v>
      </c>
      <c r="N273" s="49">
        <f t="shared" si="43"/>
        <v>0</v>
      </c>
      <c r="O273" s="137">
        <f>IF(ISERROR(VLOOKUP(A273,'Cross ref Tab'!A:C,3,FALSE)=TRUE),9500,VLOOKUP(A273,'Cross ref Tab'!A:C,3,FALSE))</f>
        <v>0</v>
      </c>
      <c r="P273" s="137">
        <f>IF(A273="","",COUNTIF('Cross ref Tab'!$A$3:$A$311,A273))</f>
      </c>
      <c r="Q273" s="182">
        <f t="shared" si="44"/>
      </c>
      <c r="R273" s="5">
        <f t="shared" si="45"/>
        <v>0</v>
      </c>
      <c r="S273" s="149">
        <f t="shared" si="46"/>
        <v>0</v>
      </c>
      <c r="T273" s="149">
        <f t="shared" si="47"/>
        <v>0</v>
      </c>
      <c r="U273" s="150">
        <f t="shared" si="48"/>
        <v>0</v>
      </c>
      <c r="V273" s="5" t="e">
        <f>VLOOKUP(A273,#REF!,7,FALSE)-C273</f>
        <v>#REF!</v>
      </c>
      <c r="W273" s="5" t="e">
        <f>SUMIF(#REF!,A273,#REF!)-C273</f>
        <v>#REF!</v>
      </c>
      <c r="X273" s="5"/>
      <c r="Y273" s="5"/>
      <c r="Z273" s="5"/>
      <c r="AA273" s="5"/>
      <c r="AB273" s="5"/>
      <c r="AC273" s="5"/>
      <c r="AD273" s="5"/>
      <c r="AE273" s="5"/>
      <c r="AF273" s="5"/>
      <c r="AG273" s="5"/>
      <c r="AH273" s="5"/>
      <c r="AI273" s="5"/>
      <c r="AJ273" s="5"/>
      <c r="AK273" s="5"/>
    </row>
    <row r="274" spans="1:37" ht="15" customHeight="1">
      <c r="A274" s="70">
        <f>IF(Download!B264="","",Download!B264)</f>
      </c>
      <c r="B274" s="70">
        <f>IF(Download!C264="","",Download!C264)</f>
      </c>
      <c r="C274" s="45"/>
      <c r="D274" s="42"/>
      <c r="E274" s="252">
        <f>IF(ISERROR(VLOOKUP(A274,'Workings Prior Month'!A:N,4,FALSE))=TRUE,0,(VLOOKUP(A274,'Workings Prior Month'!A:N,4,FALSE)))</f>
        <v>0</v>
      </c>
      <c r="F274" s="29" t="str">
        <f t="shared" si="40"/>
        <v>-</v>
      </c>
      <c r="G274" s="39"/>
      <c r="H274" s="39"/>
      <c r="I274" s="40"/>
      <c r="J274" s="47">
        <f t="shared" si="41"/>
        <v>0</v>
      </c>
      <c r="K274" s="37">
        <f t="shared" si="42"/>
        <v>0</v>
      </c>
      <c r="L274" s="43">
        <f>IF(ISERROR(VLOOKUP(A274,'Workings Prior Month'!A:N,10,FALSE))=TRUE,0,(VLOOKUP(A274,'Workings Prior Month'!A:N,10,FALSE)))</f>
        <v>0</v>
      </c>
      <c r="M274" s="43">
        <f>IF(ISERROR(VLOOKUP(A274,'Workings Prior Month'!A:N,11,FALSE))=TRUE,0,(VLOOKUP(A274,'Workings Prior Month'!A:N,11,FALSE)))</f>
        <v>0</v>
      </c>
      <c r="N274" s="49">
        <f t="shared" si="43"/>
        <v>0</v>
      </c>
      <c r="O274" s="137">
        <f>IF(ISERROR(VLOOKUP(A274,'Cross ref Tab'!A:C,3,FALSE)=TRUE),9500,VLOOKUP(A274,'Cross ref Tab'!A:C,3,FALSE))</f>
        <v>0</v>
      </c>
      <c r="P274" s="137">
        <f>IF(A274="","",COUNTIF('Cross ref Tab'!$A$3:$A$311,A274))</f>
      </c>
      <c r="Q274" s="182">
        <f t="shared" si="44"/>
      </c>
      <c r="R274" s="5">
        <f t="shared" si="45"/>
        <v>0</v>
      </c>
      <c r="S274" s="149">
        <f t="shared" si="46"/>
        <v>0</v>
      </c>
      <c r="T274" s="149">
        <f t="shared" si="47"/>
        <v>0</v>
      </c>
      <c r="U274" s="150">
        <f t="shared" si="48"/>
        <v>0</v>
      </c>
      <c r="V274" s="5" t="e">
        <f>VLOOKUP(A274,#REF!,7,FALSE)-C274</f>
        <v>#REF!</v>
      </c>
      <c r="W274" s="5" t="e">
        <f>SUMIF(#REF!,A274,#REF!)-C274</f>
        <v>#REF!</v>
      </c>
      <c r="X274" s="5"/>
      <c r="Y274" s="5"/>
      <c r="Z274" s="5"/>
      <c r="AA274" s="5"/>
      <c r="AB274" s="5"/>
      <c r="AC274" s="5"/>
      <c r="AD274" s="5"/>
      <c r="AE274" s="5"/>
      <c r="AF274" s="5"/>
      <c r="AG274" s="5"/>
      <c r="AH274" s="5"/>
      <c r="AI274" s="5"/>
      <c r="AJ274" s="5"/>
      <c r="AK274" s="5"/>
    </row>
    <row r="275" spans="1:37" ht="15" customHeight="1">
      <c r="A275" s="70">
        <f>IF(Download!B265="","",Download!B265)</f>
      </c>
      <c r="B275" s="70">
        <f>IF(Download!C265="","",Download!C265)</f>
      </c>
      <c r="C275" s="45"/>
      <c r="D275" s="42"/>
      <c r="E275" s="252">
        <f>IF(ISERROR(VLOOKUP(A275,'Workings Prior Month'!A:N,4,FALSE))=TRUE,0,(VLOOKUP(A275,'Workings Prior Month'!A:N,4,FALSE)))</f>
        <v>0</v>
      </c>
      <c r="F275" s="29" t="str">
        <f t="shared" si="40"/>
        <v>-</v>
      </c>
      <c r="G275" s="39"/>
      <c r="H275" s="39"/>
      <c r="I275" s="40"/>
      <c r="J275" s="47">
        <f t="shared" si="41"/>
        <v>0</v>
      </c>
      <c r="K275" s="37">
        <f t="shared" si="42"/>
        <v>0</v>
      </c>
      <c r="L275" s="43">
        <f>IF(ISERROR(VLOOKUP(A275,'Workings Prior Month'!A:N,10,FALSE))=TRUE,0,(VLOOKUP(A275,'Workings Prior Month'!A:N,10,FALSE)))</f>
        <v>0</v>
      </c>
      <c r="M275" s="43">
        <f>IF(ISERROR(VLOOKUP(A275,'Workings Prior Month'!A:N,11,FALSE))=TRUE,0,(VLOOKUP(A275,'Workings Prior Month'!A:N,11,FALSE)))</f>
        <v>0</v>
      </c>
      <c r="N275" s="49">
        <f t="shared" si="43"/>
        <v>0</v>
      </c>
      <c r="O275" s="137">
        <f>IF(ISERROR(VLOOKUP(A275,'Cross ref Tab'!A:C,3,FALSE)=TRUE),9500,VLOOKUP(A275,'Cross ref Tab'!A:C,3,FALSE))</f>
        <v>0</v>
      </c>
      <c r="P275" s="137">
        <f>IF(A275="","",COUNTIF('Cross ref Tab'!$A$3:$A$311,A275))</f>
      </c>
      <c r="Q275" s="182">
        <f t="shared" si="44"/>
      </c>
      <c r="R275" s="5">
        <f t="shared" si="45"/>
        <v>0</v>
      </c>
      <c r="S275" s="149">
        <f t="shared" si="46"/>
        <v>0</v>
      </c>
      <c r="T275" s="149">
        <f t="shared" si="47"/>
        <v>0</v>
      </c>
      <c r="U275" s="150">
        <f t="shared" si="48"/>
        <v>0</v>
      </c>
      <c r="V275" s="5" t="e">
        <f>VLOOKUP(A275,#REF!,7,FALSE)-C275</f>
        <v>#REF!</v>
      </c>
      <c r="W275" s="5" t="e">
        <f>SUMIF(#REF!,A275,#REF!)-C275</f>
        <v>#REF!</v>
      </c>
      <c r="X275" s="5"/>
      <c r="Y275" s="5"/>
      <c r="Z275" s="5"/>
      <c r="AA275" s="5"/>
      <c r="AB275" s="5"/>
      <c r="AC275" s="5"/>
      <c r="AD275" s="5"/>
      <c r="AE275" s="5"/>
      <c r="AF275" s="5"/>
      <c r="AG275" s="5"/>
      <c r="AH275" s="5"/>
      <c r="AI275" s="5"/>
      <c r="AJ275" s="5"/>
      <c r="AK275" s="5"/>
    </row>
    <row r="276" spans="1:37" ht="15" customHeight="1">
      <c r="A276" s="70">
        <f>IF(Download!B266="","",Download!B266)</f>
      </c>
      <c r="B276" s="70">
        <f>IF(Download!C266="","",Download!C266)</f>
      </c>
      <c r="C276" s="45"/>
      <c r="D276" s="42"/>
      <c r="E276" s="252">
        <f>IF(ISERROR(VLOOKUP(A276,'Workings Prior Month'!A:N,4,FALSE))=TRUE,0,(VLOOKUP(A276,'Workings Prior Month'!A:N,4,FALSE)))</f>
        <v>0</v>
      </c>
      <c r="F276" s="29" t="str">
        <f t="shared" si="40"/>
        <v>-</v>
      </c>
      <c r="G276" s="39"/>
      <c r="H276" s="39"/>
      <c r="I276" s="40"/>
      <c r="J276" s="47">
        <f t="shared" si="41"/>
        <v>0</v>
      </c>
      <c r="K276" s="37">
        <f t="shared" si="42"/>
        <v>0</v>
      </c>
      <c r="L276" s="43">
        <f>IF(ISERROR(VLOOKUP(A276,'Workings Prior Month'!A:N,10,FALSE))=TRUE,0,(VLOOKUP(A276,'Workings Prior Month'!A:N,10,FALSE)))</f>
        <v>0</v>
      </c>
      <c r="M276" s="43">
        <f>IF(ISERROR(VLOOKUP(A276,'Workings Prior Month'!A:N,11,FALSE))=TRUE,0,(VLOOKUP(A276,'Workings Prior Month'!A:N,11,FALSE)))</f>
        <v>0</v>
      </c>
      <c r="N276" s="49">
        <f t="shared" si="43"/>
        <v>0</v>
      </c>
      <c r="O276" s="137">
        <f>IF(ISERROR(VLOOKUP(A276,'Cross ref Tab'!A:C,3,FALSE)=TRUE),9500,VLOOKUP(A276,'Cross ref Tab'!A:C,3,FALSE))</f>
        <v>0</v>
      </c>
      <c r="P276" s="137">
        <f>IF(A276="","",COUNTIF('Cross ref Tab'!$A$3:$A$311,A276))</f>
      </c>
      <c r="Q276" s="182">
        <f t="shared" si="44"/>
      </c>
      <c r="R276" s="5">
        <f t="shared" si="45"/>
        <v>0</v>
      </c>
      <c r="S276" s="149">
        <f t="shared" si="46"/>
        <v>0</v>
      </c>
      <c r="T276" s="149">
        <f t="shared" si="47"/>
        <v>0</v>
      </c>
      <c r="U276" s="150">
        <f t="shared" si="48"/>
        <v>0</v>
      </c>
      <c r="V276" s="5" t="e">
        <f>VLOOKUP(A276,#REF!,7,FALSE)-C276</f>
        <v>#REF!</v>
      </c>
      <c r="W276" s="5" t="e">
        <f>SUMIF(#REF!,A276,#REF!)-C276</f>
        <v>#REF!</v>
      </c>
      <c r="X276" s="5"/>
      <c r="Y276" s="5"/>
      <c r="Z276" s="5"/>
      <c r="AA276" s="5"/>
      <c r="AB276" s="5"/>
      <c r="AC276" s="5"/>
      <c r="AD276" s="5"/>
      <c r="AE276" s="5"/>
      <c r="AF276" s="5"/>
      <c r="AG276" s="5"/>
      <c r="AH276" s="5"/>
      <c r="AI276" s="5"/>
      <c r="AJ276" s="5"/>
      <c r="AK276" s="5"/>
    </row>
    <row r="277" spans="1:37" ht="15" customHeight="1">
      <c r="A277" s="70">
        <f>IF(Download!B267="","",Download!B267)</f>
      </c>
      <c r="B277" s="70">
        <f>IF(Download!C267="","",Download!C267)</f>
      </c>
      <c r="C277" s="45"/>
      <c r="D277" s="42"/>
      <c r="E277" s="252">
        <f>IF(ISERROR(VLOOKUP(A277,'Workings Prior Month'!A:N,4,FALSE))=TRUE,0,(VLOOKUP(A277,'Workings Prior Month'!A:N,4,FALSE)))</f>
        <v>0</v>
      </c>
      <c r="F277" s="29" t="str">
        <f t="shared" si="40"/>
        <v>-</v>
      </c>
      <c r="G277" s="39"/>
      <c r="H277" s="39"/>
      <c r="I277" s="40"/>
      <c r="J277" s="47">
        <f t="shared" si="41"/>
        <v>0</v>
      </c>
      <c r="K277" s="37">
        <f t="shared" si="42"/>
        <v>0</v>
      </c>
      <c r="L277" s="43">
        <f>IF(ISERROR(VLOOKUP(A277,'Workings Prior Month'!A:N,10,FALSE))=TRUE,0,(VLOOKUP(A277,'Workings Prior Month'!A:N,10,FALSE)))</f>
        <v>0</v>
      </c>
      <c r="M277" s="43">
        <f>IF(ISERROR(VLOOKUP(A277,'Workings Prior Month'!A:N,11,FALSE))=TRUE,0,(VLOOKUP(A277,'Workings Prior Month'!A:N,11,FALSE)))</f>
        <v>0</v>
      </c>
      <c r="N277" s="49">
        <f t="shared" si="43"/>
        <v>0</v>
      </c>
      <c r="O277" s="137">
        <f>IF(ISERROR(VLOOKUP(A277,'Cross ref Tab'!A:C,3,FALSE)=TRUE),9500,VLOOKUP(A277,'Cross ref Tab'!A:C,3,FALSE))</f>
        <v>0</v>
      </c>
      <c r="P277" s="137">
        <f>IF(A277="","",COUNTIF('Cross ref Tab'!$A$3:$A$311,A277))</f>
      </c>
      <c r="Q277" s="182">
        <f t="shared" si="44"/>
      </c>
      <c r="R277" s="5">
        <f t="shared" si="45"/>
        <v>0</v>
      </c>
      <c r="S277" s="149">
        <f t="shared" si="46"/>
        <v>0</v>
      </c>
      <c r="T277" s="149">
        <f t="shared" si="47"/>
        <v>0</v>
      </c>
      <c r="U277" s="150">
        <f t="shared" si="48"/>
        <v>0</v>
      </c>
      <c r="V277" s="5" t="e">
        <f>VLOOKUP(A277,#REF!,7,FALSE)-C277</f>
        <v>#REF!</v>
      </c>
      <c r="W277" s="5" t="e">
        <f>SUMIF(#REF!,A277,#REF!)-C277</f>
        <v>#REF!</v>
      </c>
      <c r="X277" s="5"/>
      <c r="Y277" s="5"/>
      <c r="Z277" s="5"/>
      <c r="AA277" s="5"/>
      <c r="AB277" s="5"/>
      <c r="AC277" s="5"/>
      <c r="AD277" s="5"/>
      <c r="AE277" s="5"/>
      <c r="AF277" s="5"/>
      <c r="AG277" s="5"/>
      <c r="AH277" s="5"/>
      <c r="AI277" s="5"/>
      <c r="AJ277" s="5"/>
      <c r="AK277" s="5"/>
    </row>
    <row r="278" spans="1:37" ht="15" customHeight="1">
      <c r="A278" s="70">
        <f>IF(Download!B268="","",Download!B268)</f>
      </c>
      <c r="B278" s="70">
        <f>IF(Download!C268="","",Download!C268)</f>
      </c>
      <c r="C278" s="45"/>
      <c r="D278" s="42"/>
      <c r="E278" s="252">
        <f>IF(ISERROR(VLOOKUP(A278,'Workings Prior Month'!A:N,4,FALSE))=TRUE,0,(VLOOKUP(A278,'Workings Prior Month'!A:N,4,FALSE)))</f>
        <v>0</v>
      </c>
      <c r="F278" s="29" t="str">
        <f t="shared" si="40"/>
        <v>-</v>
      </c>
      <c r="G278" s="39"/>
      <c r="H278" s="39"/>
      <c r="I278" s="40"/>
      <c r="J278" s="47">
        <f t="shared" si="41"/>
        <v>0</v>
      </c>
      <c r="K278" s="37">
        <f t="shared" si="42"/>
        <v>0</v>
      </c>
      <c r="L278" s="43">
        <f>IF(ISERROR(VLOOKUP(A278,'Workings Prior Month'!A:N,10,FALSE))=TRUE,0,(VLOOKUP(A278,'Workings Prior Month'!A:N,10,FALSE)))</f>
        <v>0</v>
      </c>
      <c r="M278" s="43">
        <f>IF(ISERROR(VLOOKUP(A278,'Workings Prior Month'!A:N,11,FALSE))=TRUE,0,(VLOOKUP(A278,'Workings Prior Month'!A:N,11,FALSE)))</f>
        <v>0</v>
      </c>
      <c r="N278" s="49">
        <f t="shared" si="43"/>
        <v>0</v>
      </c>
      <c r="O278" s="137">
        <f>IF(ISERROR(VLOOKUP(A278,'Cross ref Tab'!A:C,3,FALSE)=TRUE),9500,VLOOKUP(A278,'Cross ref Tab'!A:C,3,FALSE))</f>
        <v>0</v>
      </c>
      <c r="P278" s="137">
        <f>IF(A278="","",COUNTIF('Cross ref Tab'!$A$3:$A$311,A278))</f>
      </c>
      <c r="Q278" s="182">
        <f t="shared" si="44"/>
      </c>
      <c r="R278" s="5">
        <f t="shared" si="45"/>
        <v>0</v>
      </c>
      <c r="S278" s="149">
        <f t="shared" si="46"/>
        <v>0</v>
      </c>
      <c r="T278" s="149">
        <f t="shared" si="47"/>
        <v>0</v>
      </c>
      <c r="U278" s="150">
        <f t="shared" si="48"/>
        <v>0</v>
      </c>
      <c r="V278" s="5" t="e">
        <f>VLOOKUP(A278,#REF!,7,FALSE)-C278</f>
        <v>#REF!</v>
      </c>
      <c r="W278" s="5" t="e">
        <f>SUMIF(#REF!,A278,#REF!)-C278</f>
        <v>#REF!</v>
      </c>
      <c r="X278" s="5"/>
      <c r="Y278" s="5"/>
      <c r="Z278" s="5"/>
      <c r="AA278" s="5"/>
      <c r="AB278" s="5"/>
      <c r="AC278" s="5"/>
      <c r="AD278" s="5"/>
      <c r="AE278" s="5"/>
      <c r="AF278" s="5"/>
      <c r="AG278" s="5"/>
      <c r="AH278" s="5"/>
      <c r="AI278" s="5"/>
      <c r="AJ278" s="5"/>
      <c r="AK278" s="5"/>
    </row>
    <row r="279" spans="1:37" ht="15" customHeight="1">
      <c r="A279" s="70">
        <f>IF(Download!B269="","",Download!B269)</f>
      </c>
      <c r="B279" s="70">
        <f>IF(Download!C269="","",Download!C269)</f>
      </c>
      <c r="C279" s="45"/>
      <c r="D279" s="42"/>
      <c r="E279" s="252">
        <f>IF(ISERROR(VLOOKUP(A279,'Workings Prior Month'!A:N,4,FALSE))=TRUE,0,(VLOOKUP(A279,'Workings Prior Month'!A:N,4,FALSE)))</f>
        <v>0</v>
      </c>
      <c r="F279" s="29" t="str">
        <f t="shared" si="40"/>
        <v>-</v>
      </c>
      <c r="G279" s="39"/>
      <c r="H279" s="39"/>
      <c r="I279" s="40"/>
      <c r="J279" s="47">
        <f t="shared" si="41"/>
        <v>0</v>
      </c>
      <c r="K279" s="37">
        <f t="shared" si="42"/>
        <v>0</v>
      </c>
      <c r="L279" s="43">
        <f>IF(ISERROR(VLOOKUP(A279,'Workings Prior Month'!A:N,10,FALSE))=TRUE,0,(VLOOKUP(A279,'Workings Prior Month'!A:N,10,FALSE)))</f>
        <v>0</v>
      </c>
      <c r="M279" s="43">
        <f>IF(ISERROR(VLOOKUP(A279,'Workings Prior Month'!A:N,11,FALSE))=TRUE,0,(VLOOKUP(A279,'Workings Prior Month'!A:N,11,FALSE)))</f>
        <v>0</v>
      </c>
      <c r="N279" s="49">
        <f t="shared" si="43"/>
        <v>0</v>
      </c>
      <c r="O279" s="137">
        <f>IF(ISERROR(VLOOKUP(A279,'Cross ref Tab'!A:C,3,FALSE)=TRUE),9500,VLOOKUP(A279,'Cross ref Tab'!A:C,3,FALSE))</f>
        <v>0</v>
      </c>
      <c r="P279" s="137">
        <f>IF(A279="","",COUNTIF('Cross ref Tab'!$A$3:$A$311,A279))</f>
      </c>
      <c r="Q279" s="182">
        <f t="shared" si="44"/>
      </c>
      <c r="R279" s="5">
        <f t="shared" si="45"/>
        <v>0</v>
      </c>
      <c r="S279" s="149">
        <f t="shared" si="46"/>
        <v>0</v>
      </c>
      <c r="T279" s="149">
        <f t="shared" si="47"/>
        <v>0</v>
      </c>
      <c r="U279" s="150">
        <f t="shared" si="48"/>
        <v>0</v>
      </c>
      <c r="V279" s="5" t="e">
        <f>VLOOKUP(A279,#REF!,7,FALSE)-C279</f>
        <v>#REF!</v>
      </c>
      <c r="W279" s="5" t="e">
        <f>SUMIF(#REF!,A279,#REF!)-C279</f>
        <v>#REF!</v>
      </c>
      <c r="X279" s="5"/>
      <c r="Y279" s="5"/>
      <c r="Z279" s="5"/>
      <c r="AA279" s="5"/>
      <c r="AB279" s="5"/>
      <c r="AC279" s="5"/>
      <c r="AD279" s="5"/>
      <c r="AE279" s="5"/>
      <c r="AF279" s="5"/>
      <c r="AG279" s="5"/>
      <c r="AH279" s="5"/>
      <c r="AI279" s="5"/>
      <c r="AJ279" s="5"/>
      <c r="AK279" s="5"/>
    </row>
    <row r="280" spans="1:37" ht="15" customHeight="1">
      <c r="A280" s="70">
        <f>IF(Download!B270="","",Download!B270)</f>
      </c>
      <c r="B280" s="70">
        <f>IF(Download!C270="","",Download!C270)</f>
      </c>
      <c r="C280" s="45"/>
      <c r="D280" s="42"/>
      <c r="E280" s="252">
        <f>IF(ISERROR(VLOOKUP(A280,'Workings Prior Month'!A:N,4,FALSE))=TRUE,0,(VLOOKUP(A280,'Workings Prior Month'!A:N,4,FALSE)))</f>
        <v>0</v>
      </c>
      <c r="F280" s="29" t="str">
        <f t="shared" si="40"/>
        <v>-</v>
      </c>
      <c r="G280" s="39"/>
      <c r="H280" s="39"/>
      <c r="I280" s="40"/>
      <c r="J280" s="47">
        <f t="shared" si="41"/>
        <v>0</v>
      </c>
      <c r="K280" s="37">
        <f t="shared" si="42"/>
        <v>0</v>
      </c>
      <c r="L280" s="43">
        <f>IF(ISERROR(VLOOKUP(A280,'Workings Prior Month'!A:N,10,FALSE))=TRUE,0,(VLOOKUP(A280,'Workings Prior Month'!A:N,10,FALSE)))</f>
        <v>0</v>
      </c>
      <c r="M280" s="43">
        <f>IF(ISERROR(VLOOKUP(A280,'Workings Prior Month'!A:N,11,FALSE))=TRUE,0,(VLOOKUP(A280,'Workings Prior Month'!A:N,11,FALSE)))</f>
        <v>0</v>
      </c>
      <c r="N280" s="49">
        <f t="shared" si="43"/>
        <v>0</v>
      </c>
      <c r="O280" s="137">
        <f>IF(ISERROR(VLOOKUP(A280,'Cross ref Tab'!A:C,3,FALSE)=TRUE),9500,VLOOKUP(A280,'Cross ref Tab'!A:C,3,FALSE))</f>
        <v>0</v>
      </c>
      <c r="P280" s="137">
        <f>IF(A280="","",COUNTIF('Cross ref Tab'!$A$3:$A$311,A280))</f>
      </c>
      <c r="Q280" s="182">
        <f t="shared" si="44"/>
      </c>
      <c r="R280" s="5">
        <f t="shared" si="45"/>
        <v>0</v>
      </c>
      <c r="S280" s="149">
        <f t="shared" si="46"/>
        <v>0</v>
      </c>
      <c r="T280" s="149">
        <f t="shared" si="47"/>
        <v>0</v>
      </c>
      <c r="U280" s="150">
        <f t="shared" si="48"/>
        <v>0</v>
      </c>
      <c r="V280" s="5" t="e">
        <f>VLOOKUP(A280,#REF!,7,FALSE)-C280</f>
        <v>#REF!</v>
      </c>
      <c r="W280" s="5" t="e">
        <f>SUMIF(#REF!,A280,#REF!)-C280</f>
        <v>#REF!</v>
      </c>
      <c r="X280" s="5"/>
      <c r="Y280" s="5"/>
      <c r="Z280" s="5"/>
      <c r="AA280" s="5"/>
      <c r="AB280" s="5"/>
      <c r="AC280" s="5"/>
      <c r="AD280" s="5"/>
      <c r="AE280" s="5"/>
      <c r="AF280" s="5"/>
      <c r="AG280" s="5"/>
      <c r="AH280" s="5"/>
      <c r="AI280" s="5"/>
      <c r="AJ280" s="5"/>
      <c r="AK280" s="5"/>
    </row>
    <row r="281" spans="1:37" ht="15" customHeight="1">
      <c r="A281" s="70">
        <f>IF(Download!B271="","",Download!B271)</f>
      </c>
      <c r="B281" s="70">
        <f>IF(Download!C271="","",Download!C271)</f>
      </c>
      <c r="C281" s="45"/>
      <c r="D281" s="42"/>
      <c r="E281" s="252">
        <f>IF(ISERROR(VLOOKUP(A281,'Workings Prior Month'!A:N,4,FALSE))=TRUE,0,(VLOOKUP(A281,'Workings Prior Month'!A:N,4,FALSE)))</f>
        <v>0</v>
      </c>
      <c r="F281" s="29" t="str">
        <f t="shared" si="40"/>
        <v>-</v>
      </c>
      <c r="G281" s="39"/>
      <c r="H281" s="39"/>
      <c r="I281" s="40"/>
      <c r="J281" s="47">
        <f t="shared" si="41"/>
        <v>0</v>
      </c>
      <c r="K281" s="37">
        <f t="shared" si="42"/>
        <v>0</v>
      </c>
      <c r="L281" s="43">
        <f>IF(ISERROR(VLOOKUP(A281,'Workings Prior Month'!A:N,10,FALSE))=TRUE,0,(VLOOKUP(A281,'Workings Prior Month'!A:N,10,FALSE)))</f>
        <v>0</v>
      </c>
      <c r="M281" s="43">
        <f>IF(ISERROR(VLOOKUP(A281,'Workings Prior Month'!A:N,11,FALSE))=TRUE,0,(VLOOKUP(A281,'Workings Prior Month'!A:N,11,FALSE)))</f>
        <v>0</v>
      </c>
      <c r="N281" s="49">
        <f t="shared" si="43"/>
        <v>0</v>
      </c>
      <c r="O281" s="137">
        <f>IF(ISERROR(VLOOKUP(A281,'Cross ref Tab'!A:C,3,FALSE)=TRUE),9500,VLOOKUP(A281,'Cross ref Tab'!A:C,3,FALSE))</f>
        <v>0</v>
      </c>
      <c r="P281" s="137">
        <f>IF(A281="","",COUNTIF('Cross ref Tab'!$A$3:$A$311,A281))</f>
      </c>
      <c r="Q281" s="182">
        <f t="shared" si="44"/>
      </c>
      <c r="R281" s="5">
        <f t="shared" si="45"/>
        <v>0</v>
      </c>
      <c r="S281" s="149">
        <f t="shared" si="46"/>
        <v>0</v>
      </c>
      <c r="T281" s="149">
        <f t="shared" si="47"/>
        <v>0</v>
      </c>
      <c r="U281" s="150">
        <f t="shared" si="48"/>
        <v>0</v>
      </c>
      <c r="V281" s="5" t="e">
        <f>VLOOKUP(A281,#REF!,7,FALSE)-C281</f>
        <v>#REF!</v>
      </c>
      <c r="W281" s="5" t="e">
        <f>SUMIF(#REF!,A281,#REF!)-C281</f>
        <v>#REF!</v>
      </c>
      <c r="X281" s="5"/>
      <c r="Y281" s="5"/>
      <c r="Z281" s="5"/>
      <c r="AA281" s="5"/>
      <c r="AB281" s="5"/>
      <c r="AC281" s="5"/>
      <c r="AD281" s="5"/>
      <c r="AE281" s="5"/>
      <c r="AF281" s="5"/>
      <c r="AG281" s="5"/>
      <c r="AH281" s="5"/>
      <c r="AI281" s="5"/>
      <c r="AJ281" s="5"/>
      <c r="AK281" s="5"/>
    </row>
    <row r="282" spans="1:37" ht="15" customHeight="1">
      <c r="A282" s="70">
        <f>IF(Download!B272="","",Download!B272)</f>
      </c>
      <c r="B282" s="70">
        <f>IF(Download!C272="","",Download!C272)</f>
      </c>
      <c r="C282" s="45"/>
      <c r="D282" s="42"/>
      <c r="E282" s="252">
        <f>IF(ISERROR(VLOOKUP(A282,'Workings Prior Month'!A:N,4,FALSE))=TRUE,0,(VLOOKUP(A282,'Workings Prior Month'!A:N,4,FALSE)))</f>
        <v>0</v>
      </c>
      <c r="F282" s="29" t="str">
        <f t="shared" si="40"/>
        <v>-</v>
      </c>
      <c r="G282" s="39"/>
      <c r="H282" s="39"/>
      <c r="I282" s="40"/>
      <c r="J282" s="47">
        <f t="shared" si="41"/>
        <v>0</v>
      </c>
      <c r="K282" s="37">
        <f t="shared" si="42"/>
        <v>0</v>
      </c>
      <c r="L282" s="43">
        <f>IF(ISERROR(VLOOKUP(A282,'Workings Prior Month'!A:N,10,FALSE))=TRUE,0,(VLOOKUP(A282,'Workings Prior Month'!A:N,10,FALSE)))</f>
        <v>0</v>
      </c>
      <c r="M282" s="43">
        <f>IF(ISERROR(VLOOKUP(A282,'Workings Prior Month'!A:N,11,FALSE))=TRUE,0,(VLOOKUP(A282,'Workings Prior Month'!A:N,11,FALSE)))</f>
        <v>0</v>
      </c>
      <c r="N282" s="49">
        <f t="shared" si="43"/>
        <v>0</v>
      </c>
      <c r="O282" s="137">
        <f>IF(ISERROR(VLOOKUP(A282,'Cross ref Tab'!A:C,3,FALSE)=TRUE),9500,VLOOKUP(A282,'Cross ref Tab'!A:C,3,FALSE))</f>
        <v>0</v>
      </c>
      <c r="P282" s="137">
        <f>IF(A282="","",COUNTIF('Cross ref Tab'!$A$3:$A$311,A282))</f>
      </c>
      <c r="Q282" s="182">
        <f t="shared" si="44"/>
      </c>
      <c r="R282" s="5">
        <f t="shared" si="45"/>
        <v>0</v>
      </c>
      <c r="S282" s="149">
        <f t="shared" si="46"/>
        <v>0</v>
      </c>
      <c r="T282" s="149">
        <f t="shared" si="47"/>
        <v>0</v>
      </c>
      <c r="U282" s="150">
        <f t="shared" si="48"/>
        <v>0</v>
      </c>
      <c r="V282" s="5" t="e">
        <f>VLOOKUP(A282,#REF!,7,FALSE)-C282</f>
        <v>#REF!</v>
      </c>
      <c r="W282" s="5" t="e">
        <f>SUMIF(#REF!,A282,#REF!)-C282</f>
        <v>#REF!</v>
      </c>
      <c r="X282" s="5"/>
      <c r="Y282" s="5"/>
      <c r="Z282" s="5"/>
      <c r="AA282" s="5"/>
      <c r="AB282" s="5"/>
      <c r="AC282" s="5"/>
      <c r="AD282" s="5"/>
      <c r="AE282" s="5"/>
      <c r="AF282" s="5"/>
      <c r="AG282" s="5"/>
      <c r="AH282" s="5"/>
      <c r="AI282" s="5"/>
      <c r="AJ282" s="5"/>
      <c r="AK282" s="5"/>
    </row>
    <row r="283" spans="1:37" ht="15" customHeight="1">
      <c r="A283" s="70">
        <f>IF(Download!B273="","",Download!B273)</f>
      </c>
      <c r="B283" s="70">
        <f>IF(Download!C273="","",Download!C273)</f>
      </c>
      <c r="C283" s="45"/>
      <c r="D283" s="42"/>
      <c r="E283" s="252">
        <f>IF(ISERROR(VLOOKUP(A283,'Workings Prior Month'!A:N,4,FALSE))=TRUE,0,(VLOOKUP(A283,'Workings Prior Month'!A:N,4,FALSE)))</f>
        <v>0</v>
      </c>
      <c r="F283" s="29" t="str">
        <f t="shared" si="40"/>
        <v>-</v>
      </c>
      <c r="G283" s="39"/>
      <c r="H283" s="39"/>
      <c r="I283" s="40"/>
      <c r="J283" s="47">
        <f t="shared" si="41"/>
        <v>0</v>
      </c>
      <c r="K283" s="37">
        <f t="shared" si="42"/>
        <v>0</v>
      </c>
      <c r="L283" s="43">
        <f>IF(ISERROR(VLOOKUP(A283,'Workings Prior Month'!A:N,10,FALSE))=TRUE,0,(VLOOKUP(A283,'Workings Prior Month'!A:N,10,FALSE)))</f>
        <v>0</v>
      </c>
      <c r="M283" s="43">
        <f>IF(ISERROR(VLOOKUP(A283,'Workings Prior Month'!A:N,11,FALSE))=TRUE,0,(VLOOKUP(A283,'Workings Prior Month'!A:N,11,FALSE)))</f>
        <v>0</v>
      </c>
      <c r="N283" s="49">
        <f t="shared" si="43"/>
        <v>0</v>
      </c>
      <c r="O283" s="137">
        <f>IF(ISERROR(VLOOKUP(A283,'Cross ref Tab'!A:C,3,FALSE)=TRUE),9500,VLOOKUP(A283,'Cross ref Tab'!A:C,3,FALSE))</f>
        <v>0</v>
      </c>
      <c r="P283" s="137">
        <f>IF(A283="","",COUNTIF('Cross ref Tab'!$A$3:$A$311,A283))</f>
      </c>
      <c r="Q283" s="182">
        <f t="shared" si="44"/>
      </c>
      <c r="R283" s="5">
        <f t="shared" si="45"/>
        <v>0</v>
      </c>
      <c r="S283" s="149">
        <f t="shared" si="46"/>
        <v>0</v>
      </c>
      <c r="T283" s="149">
        <f t="shared" si="47"/>
        <v>0</v>
      </c>
      <c r="U283" s="150">
        <f t="shared" si="48"/>
        <v>0</v>
      </c>
      <c r="V283" s="5" t="e">
        <f>VLOOKUP(A283,#REF!,7,FALSE)-C283</f>
        <v>#REF!</v>
      </c>
      <c r="W283" s="5" t="e">
        <f>SUMIF(#REF!,A283,#REF!)-C283</f>
        <v>#REF!</v>
      </c>
      <c r="X283" s="5"/>
      <c r="Y283" s="5"/>
      <c r="Z283" s="5"/>
      <c r="AA283" s="5"/>
      <c r="AB283" s="5"/>
      <c r="AC283" s="5"/>
      <c r="AD283" s="5"/>
      <c r="AE283" s="5"/>
      <c r="AF283" s="5"/>
      <c r="AG283" s="5"/>
      <c r="AH283" s="5"/>
      <c r="AI283" s="5"/>
      <c r="AJ283" s="5"/>
      <c r="AK283" s="5"/>
    </row>
    <row r="284" spans="1:37" ht="15" customHeight="1">
      <c r="A284" s="70">
        <f>IF(Download!B274="","",Download!B274)</f>
      </c>
      <c r="B284" s="70">
        <f>IF(Download!C274="","",Download!C274)</f>
      </c>
      <c r="C284" s="45"/>
      <c r="D284" s="42"/>
      <c r="E284" s="252">
        <f>IF(ISERROR(VLOOKUP(A284,'Workings Prior Month'!A:N,4,FALSE))=TRUE,0,(VLOOKUP(A284,'Workings Prior Month'!A:N,4,FALSE)))</f>
        <v>0</v>
      </c>
      <c r="F284" s="29" t="str">
        <f t="shared" si="40"/>
        <v>-</v>
      </c>
      <c r="G284" s="39"/>
      <c r="H284" s="39"/>
      <c r="I284" s="40"/>
      <c r="J284" s="47">
        <f t="shared" si="41"/>
        <v>0</v>
      </c>
      <c r="K284" s="37">
        <f t="shared" si="42"/>
        <v>0</v>
      </c>
      <c r="L284" s="43">
        <f>IF(ISERROR(VLOOKUP(A284,'Workings Prior Month'!A:N,10,FALSE))=TRUE,0,(VLOOKUP(A284,'Workings Prior Month'!A:N,10,FALSE)))</f>
        <v>0</v>
      </c>
      <c r="M284" s="43">
        <f>IF(ISERROR(VLOOKUP(A284,'Workings Prior Month'!A:N,11,FALSE))=TRUE,0,(VLOOKUP(A284,'Workings Prior Month'!A:N,11,FALSE)))</f>
        <v>0</v>
      </c>
      <c r="N284" s="49">
        <f t="shared" si="43"/>
        <v>0</v>
      </c>
      <c r="O284" s="137">
        <f>IF(ISERROR(VLOOKUP(A284,'Cross ref Tab'!A:C,3,FALSE)=TRUE),9500,VLOOKUP(A284,'Cross ref Tab'!A:C,3,FALSE))</f>
        <v>0</v>
      </c>
      <c r="P284" s="137">
        <f>IF(A284="","",COUNTIF('Cross ref Tab'!$A$3:$A$311,A284))</f>
      </c>
      <c r="Q284" s="182">
        <f t="shared" si="44"/>
      </c>
      <c r="R284" s="5">
        <f t="shared" si="45"/>
        <v>0</v>
      </c>
      <c r="S284" s="149">
        <f t="shared" si="46"/>
        <v>0</v>
      </c>
      <c r="T284" s="149">
        <f t="shared" si="47"/>
        <v>0</v>
      </c>
      <c r="U284" s="150">
        <f t="shared" si="48"/>
        <v>0</v>
      </c>
      <c r="V284" s="5" t="e">
        <f>VLOOKUP(A284,#REF!,7,FALSE)-C284</f>
        <v>#REF!</v>
      </c>
      <c r="W284" s="5" t="e">
        <f>SUMIF(#REF!,A284,#REF!)-C284</f>
        <v>#REF!</v>
      </c>
      <c r="X284" s="5"/>
      <c r="Y284" s="5"/>
      <c r="Z284" s="5"/>
      <c r="AA284" s="5"/>
      <c r="AB284" s="5"/>
      <c r="AC284" s="5"/>
      <c r="AD284" s="5"/>
      <c r="AE284" s="5"/>
      <c r="AF284" s="5"/>
      <c r="AG284" s="5"/>
      <c r="AH284" s="5"/>
      <c r="AI284" s="5"/>
      <c r="AJ284" s="5"/>
      <c r="AK284" s="5"/>
    </row>
    <row r="285" spans="1:37" ht="15" customHeight="1">
      <c r="A285" s="70">
        <f>IF(Download!B275="","",Download!B275)</f>
      </c>
      <c r="B285" s="70">
        <f>IF(Download!C275="","",Download!C275)</f>
      </c>
      <c r="C285" s="45"/>
      <c r="D285" s="42"/>
      <c r="E285" s="252">
        <f>IF(ISERROR(VLOOKUP(A285,'Workings Prior Month'!A:N,4,FALSE))=TRUE,0,(VLOOKUP(A285,'Workings Prior Month'!A:N,4,FALSE)))</f>
        <v>0</v>
      </c>
      <c r="F285" s="29" t="str">
        <f aca="true" t="shared" si="49" ref="F285:F348">IF(C285=0,"-",(C285-D285)/C285)</f>
        <v>-</v>
      </c>
      <c r="G285" s="39"/>
      <c r="H285" s="39"/>
      <c r="I285" s="40"/>
      <c r="J285" s="47">
        <f aca="true" t="shared" si="50" ref="J285:J348">IF(D285+G285-H285&gt;0,D285+G285-H285,0)</f>
        <v>0</v>
      </c>
      <c r="K285" s="37">
        <f aca="true" t="shared" si="51" ref="K285:K348">IF(D285+G285-H285&lt;=0,-D285-G285+H285,0)</f>
        <v>0</v>
      </c>
      <c r="L285" s="43">
        <f>IF(ISERROR(VLOOKUP(A285,'Workings Prior Month'!A:N,10,FALSE))=TRUE,0,(VLOOKUP(A285,'Workings Prior Month'!A:N,10,FALSE)))</f>
        <v>0</v>
      </c>
      <c r="M285" s="43">
        <f>IF(ISERROR(VLOOKUP(A285,'Workings Prior Month'!A:N,11,FALSE))=TRUE,0,(VLOOKUP(A285,'Workings Prior Month'!A:N,11,FALSE)))</f>
        <v>0</v>
      </c>
      <c r="N285" s="49">
        <f aca="true" t="shared" si="52" ref="N285:N348">M285-L285-K285+J285</f>
        <v>0</v>
      </c>
      <c r="O285" s="137">
        <f>IF(ISERROR(VLOOKUP(A285,'Cross ref Tab'!A:C,3,FALSE)=TRUE),9500,VLOOKUP(A285,'Cross ref Tab'!A:C,3,FALSE))</f>
        <v>0</v>
      </c>
      <c r="P285" s="137">
        <f>IF(A285="","",COUNTIF('Cross ref Tab'!$A$3:$A$311,A285))</f>
      </c>
      <c r="Q285" s="182">
        <f aca="true" t="shared" si="53" ref="Q285:Q348">IF(O285=9500,+" XREF Code Required","")</f>
      </c>
      <c r="R285" s="5">
        <f aca="true" t="shared" si="54" ref="R285:R348">+C285</f>
        <v>0</v>
      </c>
      <c r="S285" s="149">
        <f aca="true" t="shared" si="55" ref="S285:S348">+C285-J285+K285</f>
        <v>0</v>
      </c>
      <c r="T285" s="149">
        <f aca="true" t="shared" si="56" ref="T285:T348">+R285-S285</f>
        <v>0</v>
      </c>
      <c r="U285" s="150">
        <f aca="true" t="shared" si="57" ref="U285:U348">+T285-N285</f>
        <v>0</v>
      </c>
      <c r="V285" s="5" t="e">
        <f>VLOOKUP(A285,#REF!,7,FALSE)-C285</f>
        <v>#REF!</v>
      </c>
      <c r="W285" s="5" t="e">
        <f>SUMIF(#REF!,A285,#REF!)-C285</f>
        <v>#REF!</v>
      </c>
      <c r="X285" s="5"/>
      <c r="Y285" s="5"/>
      <c r="Z285" s="5"/>
      <c r="AA285" s="5"/>
      <c r="AB285" s="5"/>
      <c r="AC285" s="5"/>
      <c r="AD285" s="5"/>
      <c r="AE285" s="5"/>
      <c r="AF285" s="5"/>
      <c r="AG285" s="5"/>
      <c r="AH285" s="5"/>
      <c r="AI285" s="5"/>
      <c r="AJ285" s="5"/>
      <c r="AK285" s="5"/>
    </row>
    <row r="286" spans="1:37" ht="15" customHeight="1">
      <c r="A286" s="70">
        <f>IF(Download!B276="","",Download!B276)</f>
      </c>
      <c r="B286" s="70">
        <f>IF(Download!C276="","",Download!C276)</f>
      </c>
      <c r="C286" s="45"/>
      <c r="D286" s="42"/>
      <c r="E286" s="252">
        <f>IF(ISERROR(VLOOKUP(A286,'Workings Prior Month'!A:N,4,FALSE))=TRUE,0,(VLOOKUP(A286,'Workings Prior Month'!A:N,4,FALSE)))</f>
        <v>0</v>
      </c>
      <c r="F286" s="29" t="str">
        <f t="shared" si="49"/>
        <v>-</v>
      </c>
      <c r="G286" s="39"/>
      <c r="H286" s="39"/>
      <c r="I286" s="40"/>
      <c r="J286" s="47">
        <f t="shared" si="50"/>
        <v>0</v>
      </c>
      <c r="K286" s="37">
        <f t="shared" si="51"/>
        <v>0</v>
      </c>
      <c r="L286" s="43">
        <f>IF(ISERROR(VLOOKUP(A286,'Workings Prior Month'!A:N,10,FALSE))=TRUE,0,(VLOOKUP(A286,'Workings Prior Month'!A:N,10,FALSE)))</f>
        <v>0</v>
      </c>
      <c r="M286" s="43">
        <f>IF(ISERROR(VLOOKUP(A286,'Workings Prior Month'!A:N,11,FALSE))=TRUE,0,(VLOOKUP(A286,'Workings Prior Month'!A:N,11,FALSE)))</f>
        <v>0</v>
      </c>
      <c r="N286" s="49">
        <f t="shared" si="52"/>
        <v>0</v>
      </c>
      <c r="O286" s="137">
        <f>IF(ISERROR(VLOOKUP(A286,'Cross ref Tab'!A:C,3,FALSE)=TRUE),9500,VLOOKUP(A286,'Cross ref Tab'!A:C,3,FALSE))</f>
        <v>0</v>
      </c>
      <c r="P286" s="137">
        <f>IF(A286="","",COUNTIF('Cross ref Tab'!$A$3:$A$311,A286))</f>
      </c>
      <c r="Q286" s="182">
        <f t="shared" si="53"/>
      </c>
      <c r="R286" s="5">
        <f t="shared" si="54"/>
        <v>0</v>
      </c>
      <c r="S286" s="149">
        <f t="shared" si="55"/>
        <v>0</v>
      </c>
      <c r="T286" s="149">
        <f t="shared" si="56"/>
        <v>0</v>
      </c>
      <c r="U286" s="150">
        <f t="shared" si="57"/>
        <v>0</v>
      </c>
      <c r="V286" s="5" t="e">
        <f>VLOOKUP(A286,#REF!,7,FALSE)-C286</f>
        <v>#REF!</v>
      </c>
      <c r="W286" s="5" t="e">
        <f>SUMIF(#REF!,A286,#REF!)-C286</f>
        <v>#REF!</v>
      </c>
      <c r="X286" s="5"/>
      <c r="Y286" s="5"/>
      <c r="Z286" s="5"/>
      <c r="AA286" s="5"/>
      <c r="AB286" s="5"/>
      <c r="AC286" s="5"/>
      <c r="AD286" s="5"/>
      <c r="AE286" s="5"/>
      <c r="AF286" s="5"/>
      <c r="AG286" s="5"/>
      <c r="AH286" s="5"/>
      <c r="AI286" s="5"/>
      <c r="AJ286" s="5"/>
      <c r="AK286" s="5"/>
    </row>
    <row r="287" spans="1:37" ht="15" customHeight="1">
      <c r="A287" s="70">
        <f>IF(Download!B277="","",Download!B277)</f>
      </c>
      <c r="B287" s="70">
        <f>IF(Download!C277="","",Download!C277)</f>
      </c>
      <c r="C287" s="45"/>
      <c r="D287" s="42"/>
      <c r="E287" s="252">
        <f>IF(ISERROR(VLOOKUP(A287,'Workings Prior Month'!A:N,4,FALSE))=TRUE,0,(VLOOKUP(A287,'Workings Prior Month'!A:N,4,FALSE)))</f>
        <v>0</v>
      </c>
      <c r="F287" s="29" t="str">
        <f t="shared" si="49"/>
        <v>-</v>
      </c>
      <c r="G287" s="39"/>
      <c r="H287" s="39"/>
      <c r="I287" s="40"/>
      <c r="J287" s="47">
        <f t="shared" si="50"/>
        <v>0</v>
      </c>
      <c r="K287" s="37">
        <f t="shared" si="51"/>
        <v>0</v>
      </c>
      <c r="L287" s="43">
        <f>IF(ISERROR(VLOOKUP(A287,'Workings Prior Month'!A:N,10,FALSE))=TRUE,0,(VLOOKUP(A287,'Workings Prior Month'!A:N,10,FALSE)))</f>
        <v>0</v>
      </c>
      <c r="M287" s="43">
        <f>IF(ISERROR(VLOOKUP(A287,'Workings Prior Month'!A:N,11,FALSE))=TRUE,0,(VLOOKUP(A287,'Workings Prior Month'!A:N,11,FALSE)))</f>
        <v>0</v>
      </c>
      <c r="N287" s="49">
        <f t="shared" si="52"/>
        <v>0</v>
      </c>
      <c r="O287" s="137">
        <f>IF(ISERROR(VLOOKUP(A287,'Cross ref Tab'!A:C,3,FALSE)=TRUE),9500,VLOOKUP(A287,'Cross ref Tab'!A:C,3,FALSE))</f>
        <v>0</v>
      </c>
      <c r="P287" s="137">
        <f>IF(A287="","",COUNTIF('Cross ref Tab'!$A$3:$A$311,A287))</f>
      </c>
      <c r="Q287" s="182">
        <f t="shared" si="53"/>
      </c>
      <c r="R287" s="5">
        <f t="shared" si="54"/>
        <v>0</v>
      </c>
      <c r="S287" s="149">
        <f t="shared" si="55"/>
        <v>0</v>
      </c>
      <c r="T287" s="149">
        <f t="shared" si="56"/>
        <v>0</v>
      </c>
      <c r="U287" s="150">
        <f t="shared" si="57"/>
        <v>0</v>
      </c>
      <c r="V287" s="5" t="e">
        <f>VLOOKUP(A287,#REF!,7,FALSE)-C287</f>
        <v>#REF!</v>
      </c>
      <c r="W287" s="5" t="e">
        <f>SUMIF(#REF!,A287,#REF!)-C287</f>
        <v>#REF!</v>
      </c>
      <c r="X287" s="5"/>
      <c r="Y287" s="5"/>
      <c r="Z287" s="5"/>
      <c r="AA287" s="5"/>
      <c r="AB287" s="5"/>
      <c r="AC287" s="5"/>
      <c r="AD287" s="5"/>
      <c r="AE287" s="5"/>
      <c r="AF287" s="5"/>
      <c r="AG287" s="5"/>
      <c r="AH287" s="5"/>
      <c r="AI287" s="5"/>
      <c r="AJ287" s="5"/>
      <c r="AK287" s="5"/>
    </row>
    <row r="288" spans="1:37" ht="15" customHeight="1">
      <c r="A288" s="70">
        <f>IF(Download!B278="","",Download!B278)</f>
      </c>
      <c r="B288" s="70">
        <f>IF(Download!C278="","",Download!C278)</f>
      </c>
      <c r="C288" s="45"/>
      <c r="D288" s="42"/>
      <c r="E288" s="252">
        <f>IF(ISERROR(VLOOKUP(A288,'Workings Prior Month'!A:N,4,FALSE))=TRUE,0,(VLOOKUP(A288,'Workings Prior Month'!A:N,4,FALSE)))</f>
        <v>0</v>
      </c>
      <c r="F288" s="29" t="str">
        <f t="shared" si="49"/>
        <v>-</v>
      </c>
      <c r="G288" s="39"/>
      <c r="H288" s="39"/>
      <c r="I288" s="40"/>
      <c r="J288" s="47">
        <f t="shared" si="50"/>
        <v>0</v>
      </c>
      <c r="K288" s="37">
        <f t="shared" si="51"/>
        <v>0</v>
      </c>
      <c r="L288" s="43">
        <f>IF(ISERROR(VLOOKUP(A288,'Workings Prior Month'!A:N,10,FALSE))=TRUE,0,(VLOOKUP(A288,'Workings Prior Month'!A:N,10,FALSE)))</f>
        <v>0</v>
      </c>
      <c r="M288" s="43">
        <f>IF(ISERROR(VLOOKUP(A288,'Workings Prior Month'!A:N,11,FALSE))=TRUE,0,(VLOOKUP(A288,'Workings Prior Month'!A:N,11,FALSE)))</f>
        <v>0</v>
      </c>
      <c r="N288" s="49">
        <f t="shared" si="52"/>
        <v>0</v>
      </c>
      <c r="O288" s="137">
        <f>IF(ISERROR(VLOOKUP(A288,'Cross ref Tab'!A:C,3,FALSE)=TRUE),9500,VLOOKUP(A288,'Cross ref Tab'!A:C,3,FALSE))</f>
        <v>0</v>
      </c>
      <c r="P288" s="137">
        <f>IF(A288="","",COUNTIF('Cross ref Tab'!$A$3:$A$311,A288))</f>
      </c>
      <c r="Q288" s="182">
        <f t="shared" si="53"/>
      </c>
      <c r="R288" s="5">
        <f t="shared" si="54"/>
        <v>0</v>
      </c>
      <c r="S288" s="149">
        <f t="shared" si="55"/>
        <v>0</v>
      </c>
      <c r="T288" s="149">
        <f t="shared" si="56"/>
        <v>0</v>
      </c>
      <c r="U288" s="150">
        <f t="shared" si="57"/>
        <v>0</v>
      </c>
      <c r="V288" s="5" t="e">
        <f>VLOOKUP(A288,#REF!,7,FALSE)-C288</f>
        <v>#REF!</v>
      </c>
      <c r="W288" s="5" t="e">
        <f>SUMIF(#REF!,A288,#REF!)-C288</f>
        <v>#REF!</v>
      </c>
      <c r="X288" s="5"/>
      <c r="Y288" s="5"/>
      <c r="Z288" s="5"/>
      <c r="AA288" s="5"/>
      <c r="AB288" s="5"/>
      <c r="AC288" s="5"/>
      <c r="AD288" s="5"/>
      <c r="AE288" s="5"/>
      <c r="AF288" s="5"/>
      <c r="AG288" s="5"/>
      <c r="AH288" s="5"/>
      <c r="AI288" s="5"/>
      <c r="AJ288" s="5"/>
      <c r="AK288" s="5"/>
    </row>
    <row r="289" spans="1:37" ht="15" customHeight="1">
      <c r="A289" s="70">
        <f>IF(Download!B279="","",Download!B279)</f>
      </c>
      <c r="B289" s="70">
        <f>IF(Download!C279="","",Download!C279)</f>
      </c>
      <c r="C289" s="45"/>
      <c r="D289" s="42"/>
      <c r="E289" s="252">
        <f>IF(ISERROR(VLOOKUP(A289,'Workings Prior Month'!A:N,4,FALSE))=TRUE,0,(VLOOKUP(A289,'Workings Prior Month'!A:N,4,FALSE)))</f>
        <v>0</v>
      </c>
      <c r="F289" s="29" t="str">
        <f t="shared" si="49"/>
        <v>-</v>
      </c>
      <c r="G289" s="39"/>
      <c r="H289" s="39"/>
      <c r="I289" s="40"/>
      <c r="J289" s="47">
        <f t="shared" si="50"/>
        <v>0</v>
      </c>
      <c r="K289" s="37">
        <f t="shared" si="51"/>
        <v>0</v>
      </c>
      <c r="L289" s="43">
        <f>IF(ISERROR(VLOOKUP(A289,'Workings Prior Month'!A:N,10,FALSE))=TRUE,0,(VLOOKUP(A289,'Workings Prior Month'!A:N,10,FALSE)))</f>
        <v>0</v>
      </c>
      <c r="M289" s="43">
        <f>IF(ISERROR(VLOOKUP(A289,'Workings Prior Month'!A:N,11,FALSE))=TRUE,0,(VLOOKUP(A289,'Workings Prior Month'!A:N,11,FALSE)))</f>
        <v>0</v>
      </c>
      <c r="N289" s="49">
        <f t="shared" si="52"/>
        <v>0</v>
      </c>
      <c r="O289" s="137">
        <f>IF(ISERROR(VLOOKUP(A289,'Cross ref Tab'!A:C,3,FALSE)=TRUE),9500,VLOOKUP(A289,'Cross ref Tab'!A:C,3,FALSE))</f>
        <v>0</v>
      </c>
      <c r="P289" s="137">
        <f>IF(A289="","",COUNTIF('Cross ref Tab'!$A$3:$A$311,A289))</f>
      </c>
      <c r="Q289" s="182">
        <f t="shared" si="53"/>
      </c>
      <c r="R289" s="5">
        <f t="shared" si="54"/>
        <v>0</v>
      </c>
      <c r="S289" s="149">
        <f t="shared" si="55"/>
        <v>0</v>
      </c>
      <c r="T289" s="149">
        <f t="shared" si="56"/>
        <v>0</v>
      </c>
      <c r="U289" s="150">
        <f t="shared" si="57"/>
        <v>0</v>
      </c>
      <c r="V289" s="5" t="e">
        <f>VLOOKUP(A289,#REF!,7,FALSE)-C289</f>
        <v>#REF!</v>
      </c>
      <c r="W289" s="5" t="e">
        <f>SUMIF(#REF!,A289,#REF!)-C289</f>
        <v>#REF!</v>
      </c>
      <c r="X289" s="5"/>
      <c r="Y289" s="5"/>
      <c r="Z289" s="5"/>
      <c r="AA289" s="5"/>
      <c r="AB289" s="5"/>
      <c r="AC289" s="5"/>
      <c r="AD289" s="5"/>
      <c r="AE289" s="5"/>
      <c r="AF289" s="5"/>
      <c r="AG289" s="5"/>
      <c r="AH289" s="5"/>
      <c r="AI289" s="5"/>
      <c r="AJ289" s="5"/>
      <c r="AK289" s="5"/>
    </row>
    <row r="290" spans="1:37" ht="15" customHeight="1">
      <c r="A290" s="70">
        <f>IF(Download!B280="","",Download!B280)</f>
      </c>
      <c r="B290" s="70">
        <f>IF(Download!C280="","",Download!C280)</f>
      </c>
      <c r="C290" s="45"/>
      <c r="D290" s="42"/>
      <c r="E290" s="252">
        <f>IF(ISERROR(VLOOKUP(A290,'Workings Prior Month'!A:N,4,FALSE))=TRUE,0,(VLOOKUP(A290,'Workings Prior Month'!A:N,4,FALSE)))</f>
        <v>0</v>
      </c>
      <c r="F290" s="29" t="str">
        <f t="shared" si="49"/>
        <v>-</v>
      </c>
      <c r="G290" s="39"/>
      <c r="H290" s="39"/>
      <c r="I290" s="40"/>
      <c r="J290" s="47">
        <f t="shared" si="50"/>
        <v>0</v>
      </c>
      <c r="K290" s="37">
        <f t="shared" si="51"/>
        <v>0</v>
      </c>
      <c r="L290" s="43">
        <f>IF(ISERROR(VLOOKUP(A290,'Workings Prior Month'!A:N,10,FALSE))=TRUE,0,(VLOOKUP(A290,'Workings Prior Month'!A:N,10,FALSE)))</f>
        <v>0</v>
      </c>
      <c r="M290" s="43">
        <f>IF(ISERROR(VLOOKUP(A290,'Workings Prior Month'!A:N,11,FALSE))=TRUE,0,(VLOOKUP(A290,'Workings Prior Month'!A:N,11,FALSE)))</f>
        <v>0</v>
      </c>
      <c r="N290" s="49">
        <f t="shared" si="52"/>
        <v>0</v>
      </c>
      <c r="O290" s="137">
        <f>IF(ISERROR(VLOOKUP(A290,'Cross ref Tab'!A:C,3,FALSE)=TRUE),9500,VLOOKUP(A290,'Cross ref Tab'!A:C,3,FALSE))</f>
        <v>0</v>
      </c>
      <c r="P290" s="137">
        <f>IF(A290="","",COUNTIF('Cross ref Tab'!$A$3:$A$311,A290))</f>
      </c>
      <c r="Q290" s="182">
        <f t="shared" si="53"/>
      </c>
      <c r="R290" s="5">
        <f t="shared" si="54"/>
        <v>0</v>
      </c>
      <c r="S290" s="149">
        <f t="shared" si="55"/>
        <v>0</v>
      </c>
      <c r="T290" s="149">
        <f t="shared" si="56"/>
        <v>0</v>
      </c>
      <c r="U290" s="150">
        <f t="shared" si="57"/>
        <v>0</v>
      </c>
      <c r="V290" s="5" t="e">
        <f>VLOOKUP(A290,#REF!,7,FALSE)-C290</f>
        <v>#REF!</v>
      </c>
      <c r="W290" s="5" t="e">
        <f>SUMIF(#REF!,A290,#REF!)-C290</f>
        <v>#REF!</v>
      </c>
      <c r="X290" s="5"/>
      <c r="Y290" s="5"/>
      <c r="Z290" s="5"/>
      <c r="AA290" s="5"/>
      <c r="AB290" s="5"/>
      <c r="AC290" s="5"/>
      <c r="AD290" s="5"/>
      <c r="AE290" s="5"/>
      <c r="AF290" s="5"/>
      <c r="AG290" s="5"/>
      <c r="AH290" s="5"/>
      <c r="AI290" s="5"/>
      <c r="AJ290" s="5"/>
      <c r="AK290" s="5"/>
    </row>
    <row r="291" spans="1:37" ht="15" customHeight="1">
      <c r="A291" s="70">
        <f>IF(Download!B281="","",Download!B281)</f>
      </c>
      <c r="B291" s="70">
        <f>IF(Download!C281="","",Download!C281)</f>
      </c>
      <c r="C291" s="45"/>
      <c r="D291" s="42"/>
      <c r="E291" s="252">
        <f>IF(ISERROR(VLOOKUP(A291,'Workings Prior Month'!A:N,4,FALSE))=TRUE,0,(VLOOKUP(A291,'Workings Prior Month'!A:N,4,FALSE)))</f>
        <v>0</v>
      </c>
      <c r="F291" s="29" t="str">
        <f t="shared" si="49"/>
        <v>-</v>
      </c>
      <c r="G291" s="39"/>
      <c r="H291" s="39"/>
      <c r="I291" s="40"/>
      <c r="J291" s="47">
        <f t="shared" si="50"/>
        <v>0</v>
      </c>
      <c r="K291" s="37">
        <f t="shared" si="51"/>
        <v>0</v>
      </c>
      <c r="L291" s="43">
        <f>IF(ISERROR(VLOOKUP(A291,'Workings Prior Month'!A:N,10,FALSE))=TRUE,0,(VLOOKUP(A291,'Workings Prior Month'!A:N,10,FALSE)))</f>
        <v>0</v>
      </c>
      <c r="M291" s="43">
        <f>IF(ISERROR(VLOOKUP(A291,'Workings Prior Month'!A:N,11,FALSE))=TRUE,0,(VLOOKUP(A291,'Workings Prior Month'!A:N,11,FALSE)))</f>
        <v>0</v>
      </c>
      <c r="N291" s="49">
        <f t="shared" si="52"/>
        <v>0</v>
      </c>
      <c r="O291" s="137">
        <f>IF(ISERROR(VLOOKUP(A291,'Cross ref Tab'!A:C,3,FALSE)=TRUE),9500,VLOOKUP(A291,'Cross ref Tab'!A:C,3,FALSE))</f>
        <v>0</v>
      </c>
      <c r="P291" s="137">
        <f>IF(A291="","",COUNTIF('Cross ref Tab'!$A$3:$A$311,A291))</f>
      </c>
      <c r="Q291" s="182">
        <f t="shared" si="53"/>
      </c>
      <c r="R291" s="5">
        <f t="shared" si="54"/>
        <v>0</v>
      </c>
      <c r="S291" s="149">
        <f t="shared" si="55"/>
        <v>0</v>
      </c>
      <c r="T291" s="149">
        <f t="shared" si="56"/>
        <v>0</v>
      </c>
      <c r="U291" s="150">
        <f t="shared" si="57"/>
        <v>0</v>
      </c>
      <c r="V291" s="5" t="e">
        <f>VLOOKUP(A291,#REF!,7,FALSE)-C291</f>
        <v>#REF!</v>
      </c>
      <c r="W291" s="5" t="e">
        <f>SUMIF(#REF!,A291,#REF!)-C291</f>
        <v>#REF!</v>
      </c>
      <c r="X291" s="5"/>
      <c r="Y291" s="5"/>
      <c r="Z291" s="5"/>
      <c r="AA291" s="5"/>
      <c r="AB291" s="5"/>
      <c r="AC291" s="5"/>
      <c r="AD291" s="5"/>
      <c r="AE291" s="5"/>
      <c r="AF291" s="5"/>
      <c r="AG291" s="5"/>
      <c r="AH291" s="5"/>
      <c r="AI291" s="5"/>
      <c r="AJ291" s="5"/>
      <c r="AK291" s="5"/>
    </row>
    <row r="292" spans="1:37" ht="15" customHeight="1">
      <c r="A292" s="70">
        <f>IF(Download!B282="","",Download!B282)</f>
      </c>
      <c r="B292" s="70">
        <f>IF(Download!C282="","",Download!C282)</f>
      </c>
      <c r="C292" s="45"/>
      <c r="D292" s="42"/>
      <c r="E292" s="252">
        <f>IF(ISERROR(VLOOKUP(A292,'Workings Prior Month'!A:N,4,FALSE))=TRUE,0,(VLOOKUP(A292,'Workings Prior Month'!A:N,4,FALSE)))</f>
        <v>0</v>
      </c>
      <c r="F292" s="29" t="str">
        <f t="shared" si="49"/>
        <v>-</v>
      </c>
      <c r="G292" s="39"/>
      <c r="H292" s="39"/>
      <c r="I292" s="40"/>
      <c r="J292" s="47">
        <f t="shared" si="50"/>
        <v>0</v>
      </c>
      <c r="K292" s="37">
        <f t="shared" si="51"/>
        <v>0</v>
      </c>
      <c r="L292" s="43">
        <f>IF(ISERROR(VLOOKUP(A292,'Workings Prior Month'!A:N,10,FALSE))=TRUE,0,(VLOOKUP(A292,'Workings Prior Month'!A:N,10,FALSE)))</f>
        <v>0</v>
      </c>
      <c r="M292" s="43">
        <f>IF(ISERROR(VLOOKUP(A292,'Workings Prior Month'!A:N,11,FALSE))=TRUE,0,(VLOOKUP(A292,'Workings Prior Month'!A:N,11,FALSE)))</f>
        <v>0</v>
      </c>
      <c r="N292" s="49">
        <f t="shared" si="52"/>
        <v>0</v>
      </c>
      <c r="O292" s="137">
        <f>IF(ISERROR(VLOOKUP(A292,'Cross ref Tab'!A:C,3,FALSE)=TRUE),9500,VLOOKUP(A292,'Cross ref Tab'!A:C,3,FALSE))</f>
        <v>0</v>
      </c>
      <c r="P292" s="137">
        <f>IF(A292="","",COUNTIF('Cross ref Tab'!$A$3:$A$311,A292))</f>
      </c>
      <c r="Q292" s="182">
        <f t="shared" si="53"/>
      </c>
      <c r="R292" s="5">
        <f t="shared" si="54"/>
        <v>0</v>
      </c>
      <c r="S292" s="149">
        <f t="shared" si="55"/>
        <v>0</v>
      </c>
      <c r="T292" s="149">
        <f t="shared" si="56"/>
        <v>0</v>
      </c>
      <c r="U292" s="150">
        <f t="shared" si="57"/>
        <v>0</v>
      </c>
      <c r="V292" s="5" t="e">
        <f>VLOOKUP(A292,#REF!,7,FALSE)-C292</f>
        <v>#REF!</v>
      </c>
      <c r="W292" s="5" t="e">
        <f>SUMIF(#REF!,A292,#REF!)-C292</f>
        <v>#REF!</v>
      </c>
      <c r="X292" s="5"/>
      <c r="Y292" s="5"/>
      <c r="Z292" s="5"/>
      <c r="AA292" s="5"/>
      <c r="AB292" s="5"/>
      <c r="AC292" s="5"/>
      <c r="AD292" s="5"/>
      <c r="AE292" s="5"/>
      <c r="AF292" s="5"/>
      <c r="AG292" s="5"/>
      <c r="AH292" s="5"/>
      <c r="AI292" s="5"/>
      <c r="AJ292" s="5"/>
      <c r="AK292" s="5"/>
    </row>
    <row r="293" spans="1:37" ht="15" customHeight="1">
      <c r="A293" s="70">
        <f>IF(Download!B283="","",Download!B283)</f>
      </c>
      <c r="B293" s="70">
        <f>IF(Download!C283="","",Download!C283)</f>
      </c>
      <c r="C293" s="45"/>
      <c r="D293" s="42"/>
      <c r="E293" s="252">
        <f>IF(ISERROR(VLOOKUP(A293,'Workings Prior Month'!A:N,4,FALSE))=TRUE,0,(VLOOKUP(A293,'Workings Prior Month'!A:N,4,FALSE)))</f>
        <v>0</v>
      </c>
      <c r="F293" s="29" t="str">
        <f t="shared" si="49"/>
        <v>-</v>
      </c>
      <c r="G293" s="39"/>
      <c r="H293" s="39"/>
      <c r="I293" s="40"/>
      <c r="J293" s="47">
        <f t="shared" si="50"/>
        <v>0</v>
      </c>
      <c r="K293" s="37">
        <f t="shared" si="51"/>
        <v>0</v>
      </c>
      <c r="L293" s="43">
        <f>IF(ISERROR(VLOOKUP(A293,'Workings Prior Month'!A:N,10,FALSE))=TRUE,0,(VLOOKUP(A293,'Workings Prior Month'!A:N,10,FALSE)))</f>
        <v>0</v>
      </c>
      <c r="M293" s="43">
        <f>IF(ISERROR(VLOOKUP(A293,'Workings Prior Month'!A:N,11,FALSE))=TRUE,0,(VLOOKUP(A293,'Workings Prior Month'!A:N,11,FALSE)))</f>
        <v>0</v>
      </c>
      <c r="N293" s="49">
        <f t="shared" si="52"/>
        <v>0</v>
      </c>
      <c r="O293" s="137">
        <f>IF(ISERROR(VLOOKUP(A293,'Cross ref Tab'!A:C,3,FALSE)=TRUE),9500,VLOOKUP(A293,'Cross ref Tab'!A:C,3,FALSE))</f>
        <v>0</v>
      </c>
      <c r="P293" s="137">
        <f>IF(A293="","",COUNTIF('Cross ref Tab'!$A$3:$A$311,A293))</f>
      </c>
      <c r="Q293" s="182">
        <f t="shared" si="53"/>
      </c>
      <c r="R293" s="5">
        <f t="shared" si="54"/>
        <v>0</v>
      </c>
      <c r="S293" s="149">
        <f t="shared" si="55"/>
        <v>0</v>
      </c>
      <c r="T293" s="149">
        <f t="shared" si="56"/>
        <v>0</v>
      </c>
      <c r="U293" s="150">
        <f t="shared" si="57"/>
        <v>0</v>
      </c>
      <c r="V293" s="5" t="e">
        <f>VLOOKUP(A293,#REF!,7,FALSE)-C293</f>
        <v>#REF!</v>
      </c>
      <c r="W293" s="5" t="e">
        <f>SUMIF(#REF!,A293,#REF!)-C293</f>
        <v>#REF!</v>
      </c>
      <c r="X293" s="5"/>
      <c r="Y293" s="5"/>
      <c r="Z293" s="5"/>
      <c r="AA293" s="5"/>
      <c r="AB293" s="5"/>
      <c r="AC293" s="5"/>
      <c r="AD293" s="5"/>
      <c r="AE293" s="5"/>
      <c r="AF293" s="5"/>
      <c r="AG293" s="5"/>
      <c r="AH293" s="5"/>
      <c r="AI293" s="5"/>
      <c r="AJ293" s="5"/>
      <c r="AK293" s="5"/>
    </row>
    <row r="294" spans="1:37" ht="15" customHeight="1">
      <c r="A294" s="70">
        <f>IF(Download!B284="","",Download!B284)</f>
      </c>
      <c r="B294" s="70">
        <f>IF(Download!C284="","",Download!C284)</f>
      </c>
      <c r="C294" s="45"/>
      <c r="D294" s="42"/>
      <c r="E294" s="252">
        <f>IF(ISERROR(VLOOKUP(A294,'Workings Prior Month'!A:N,4,FALSE))=TRUE,0,(VLOOKUP(A294,'Workings Prior Month'!A:N,4,FALSE)))</f>
        <v>0</v>
      </c>
      <c r="F294" s="29" t="str">
        <f t="shared" si="49"/>
        <v>-</v>
      </c>
      <c r="G294" s="39"/>
      <c r="H294" s="39"/>
      <c r="I294" s="40"/>
      <c r="J294" s="47">
        <f t="shared" si="50"/>
        <v>0</v>
      </c>
      <c r="K294" s="37">
        <f t="shared" si="51"/>
        <v>0</v>
      </c>
      <c r="L294" s="43">
        <f>IF(ISERROR(VLOOKUP(A294,'Workings Prior Month'!A:N,10,FALSE))=TRUE,0,(VLOOKUP(A294,'Workings Prior Month'!A:N,10,FALSE)))</f>
        <v>0</v>
      </c>
      <c r="M294" s="43">
        <f>IF(ISERROR(VLOOKUP(A294,'Workings Prior Month'!A:N,11,FALSE))=TRUE,0,(VLOOKUP(A294,'Workings Prior Month'!A:N,11,FALSE)))</f>
        <v>0</v>
      </c>
      <c r="N294" s="49">
        <f t="shared" si="52"/>
        <v>0</v>
      </c>
      <c r="O294" s="137">
        <f>IF(ISERROR(VLOOKUP(A294,'Cross ref Tab'!A:C,3,FALSE)=TRUE),9500,VLOOKUP(A294,'Cross ref Tab'!A:C,3,FALSE))</f>
        <v>0</v>
      </c>
      <c r="P294" s="137">
        <f>IF(A294="","",COUNTIF('Cross ref Tab'!$A$3:$A$311,A294))</f>
      </c>
      <c r="Q294" s="182">
        <f t="shared" si="53"/>
      </c>
      <c r="R294" s="5">
        <f t="shared" si="54"/>
        <v>0</v>
      </c>
      <c r="S294" s="149">
        <f t="shared" si="55"/>
        <v>0</v>
      </c>
      <c r="T294" s="149">
        <f t="shared" si="56"/>
        <v>0</v>
      </c>
      <c r="U294" s="150">
        <f t="shared" si="57"/>
        <v>0</v>
      </c>
      <c r="V294" s="5" t="e">
        <f>VLOOKUP(A294,#REF!,7,FALSE)-C294</f>
        <v>#REF!</v>
      </c>
      <c r="W294" s="5" t="e">
        <f>SUMIF(#REF!,A294,#REF!)-C294</f>
        <v>#REF!</v>
      </c>
      <c r="X294" s="5"/>
      <c r="Y294" s="5"/>
      <c r="Z294" s="5"/>
      <c r="AA294" s="5"/>
      <c r="AB294" s="5"/>
      <c r="AC294" s="5"/>
      <c r="AD294" s="5"/>
      <c r="AE294" s="5"/>
      <c r="AF294" s="5"/>
      <c r="AG294" s="5"/>
      <c r="AH294" s="5"/>
      <c r="AI294" s="5"/>
      <c r="AJ294" s="5"/>
      <c r="AK294" s="5"/>
    </row>
    <row r="295" spans="1:37" ht="15" customHeight="1">
      <c r="A295" s="70">
        <f>IF(Download!B285="","",Download!B285)</f>
      </c>
      <c r="B295" s="70">
        <f>IF(Download!C285="","",Download!C285)</f>
      </c>
      <c r="C295" s="45"/>
      <c r="D295" s="42"/>
      <c r="E295" s="252">
        <f>IF(ISERROR(VLOOKUP(A295,'Workings Prior Month'!A:N,4,FALSE))=TRUE,0,(VLOOKUP(A295,'Workings Prior Month'!A:N,4,FALSE)))</f>
        <v>0</v>
      </c>
      <c r="F295" s="29" t="str">
        <f t="shared" si="49"/>
        <v>-</v>
      </c>
      <c r="G295" s="39"/>
      <c r="H295" s="39"/>
      <c r="I295" s="40"/>
      <c r="J295" s="47">
        <f t="shared" si="50"/>
        <v>0</v>
      </c>
      <c r="K295" s="37">
        <f t="shared" si="51"/>
        <v>0</v>
      </c>
      <c r="L295" s="43">
        <f>IF(ISERROR(VLOOKUP(A295,'Workings Prior Month'!A:N,10,FALSE))=TRUE,0,(VLOOKUP(A295,'Workings Prior Month'!A:N,10,FALSE)))</f>
        <v>0</v>
      </c>
      <c r="M295" s="43">
        <f>IF(ISERROR(VLOOKUP(A295,'Workings Prior Month'!A:N,11,FALSE))=TRUE,0,(VLOOKUP(A295,'Workings Prior Month'!A:N,11,FALSE)))</f>
        <v>0</v>
      </c>
      <c r="N295" s="49">
        <f t="shared" si="52"/>
        <v>0</v>
      </c>
      <c r="O295" s="137">
        <f>IF(ISERROR(VLOOKUP(A295,'Cross ref Tab'!A:C,3,FALSE)=TRUE),9500,VLOOKUP(A295,'Cross ref Tab'!A:C,3,FALSE))</f>
        <v>0</v>
      </c>
      <c r="P295" s="137">
        <f>IF(A295="","",COUNTIF('Cross ref Tab'!$A$3:$A$311,A295))</f>
      </c>
      <c r="Q295" s="182">
        <f t="shared" si="53"/>
      </c>
      <c r="R295" s="5">
        <f t="shared" si="54"/>
        <v>0</v>
      </c>
      <c r="S295" s="149">
        <f t="shared" si="55"/>
        <v>0</v>
      </c>
      <c r="T295" s="149">
        <f t="shared" si="56"/>
        <v>0</v>
      </c>
      <c r="U295" s="150">
        <f t="shared" si="57"/>
        <v>0</v>
      </c>
      <c r="V295" s="5" t="e">
        <f>VLOOKUP(A295,#REF!,7,FALSE)-C295</f>
        <v>#REF!</v>
      </c>
      <c r="W295" s="5" t="e">
        <f>SUMIF(#REF!,A295,#REF!)-C295</f>
        <v>#REF!</v>
      </c>
      <c r="X295" s="5"/>
      <c r="Y295" s="5"/>
      <c r="Z295" s="5"/>
      <c r="AA295" s="5"/>
      <c r="AB295" s="5"/>
      <c r="AC295" s="5"/>
      <c r="AD295" s="5"/>
      <c r="AE295" s="5"/>
      <c r="AF295" s="5"/>
      <c r="AG295" s="5"/>
      <c r="AH295" s="5"/>
      <c r="AI295" s="5"/>
      <c r="AJ295" s="5"/>
      <c r="AK295" s="5"/>
    </row>
    <row r="296" spans="1:37" ht="15" customHeight="1">
      <c r="A296" s="70">
        <f>IF(Download!B286="","",Download!B286)</f>
      </c>
      <c r="B296" s="70">
        <f>IF(Download!C286="","",Download!C286)</f>
      </c>
      <c r="C296" s="45"/>
      <c r="D296" s="42"/>
      <c r="E296" s="252">
        <f>IF(ISERROR(VLOOKUP(A296,'Workings Prior Month'!A:N,4,FALSE))=TRUE,0,(VLOOKUP(A296,'Workings Prior Month'!A:N,4,FALSE)))</f>
        <v>0</v>
      </c>
      <c r="F296" s="29" t="str">
        <f t="shared" si="49"/>
        <v>-</v>
      </c>
      <c r="G296" s="39"/>
      <c r="H296" s="39"/>
      <c r="I296" s="40"/>
      <c r="J296" s="47">
        <f t="shared" si="50"/>
        <v>0</v>
      </c>
      <c r="K296" s="37">
        <f t="shared" si="51"/>
        <v>0</v>
      </c>
      <c r="L296" s="43">
        <f>IF(ISERROR(VLOOKUP(A296,'Workings Prior Month'!A:N,10,FALSE))=TRUE,0,(VLOOKUP(A296,'Workings Prior Month'!A:N,10,FALSE)))</f>
        <v>0</v>
      </c>
      <c r="M296" s="43">
        <f>IF(ISERROR(VLOOKUP(A296,'Workings Prior Month'!A:N,11,FALSE))=TRUE,0,(VLOOKUP(A296,'Workings Prior Month'!A:N,11,FALSE)))</f>
        <v>0</v>
      </c>
      <c r="N296" s="49">
        <f t="shared" si="52"/>
        <v>0</v>
      </c>
      <c r="O296" s="137">
        <f>IF(ISERROR(VLOOKUP(A296,'Cross ref Tab'!A:C,3,FALSE)=TRUE),9500,VLOOKUP(A296,'Cross ref Tab'!A:C,3,FALSE))</f>
        <v>0</v>
      </c>
      <c r="P296" s="137">
        <f>IF(A296="","",COUNTIF('Cross ref Tab'!$A$3:$A$311,A296))</f>
      </c>
      <c r="Q296" s="182">
        <f t="shared" si="53"/>
      </c>
      <c r="R296" s="5">
        <f t="shared" si="54"/>
        <v>0</v>
      </c>
      <c r="S296" s="149">
        <f t="shared" si="55"/>
        <v>0</v>
      </c>
      <c r="T296" s="149">
        <f t="shared" si="56"/>
        <v>0</v>
      </c>
      <c r="U296" s="150">
        <f t="shared" si="57"/>
        <v>0</v>
      </c>
      <c r="V296" s="5" t="e">
        <f>VLOOKUP(A296,#REF!,7,FALSE)-C296</f>
        <v>#REF!</v>
      </c>
      <c r="W296" s="5" t="e">
        <f>SUMIF(#REF!,A296,#REF!)-C296</f>
        <v>#REF!</v>
      </c>
      <c r="X296" s="5"/>
      <c r="Y296" s="5"/>
      <c r="Z296" s="5"/>
      <c r="AA296" s="5"/>
      <c r="AB296" s="5"/>
      <c r="AC296" s="5"/>
      <c r="AD296" s="5"/>
      <c r="AE296" s="5"/>
      <c r="AF296" s="5"/>
      <c r="AG296" s="5"/>
      <c r="AH296" s="5"/>
      <c r="AI296" s="5"/>
      <c r="AJ296" s="5"/>
      <c r="AK296" s="5"/>
    </row>
    <row r="297" spans="1:37" ht="15" customHeight="1">
      <c r="A297" s="70">
        <f>IF(Download!B287="","",Download!B287)</f>
      </c>
      <c r="B297" s="70">
        <f>IF(Download!C287="","",Download!C287)</f>
      </c>
      <c r="C297" s="45"/>
      <c r="D297" s="42"/>
      <c r="E297" s="252">
        <f>IF(ISERROR(VLOOKUP(A297,'Workings Prior Month'!A:N,4,FALSE))=TRUE,0,(VLOOKUP(A297,'Workings Prior Month'!A:N,4,FALSE)))</f>
        <v>0</v>
      </c>
      <c r="F297" s="29" t="str">
        <f t="shared" si="49"/>
        <v>-</v>
      </c>
      <c r="G297" s="39"/>
      <c r="H297" s="39"/>
      <c r="I297" s="40"/>
      <c r="J297" s="47">
        <f t="shared" si="50"/>
        <v>0</v>
      </c>
      <c r="K297" s="37">
        <f t="shared" si="51"/>
        <v>0</v>
      </c>
      <c r="L297" s="43">
        <f>IF(ISERROR(VLOOKUP(A297,'Workings Prior Month'!A:N,10,FALSE))=TRUE,0,(VLOOKUP(A297,'Workings Prior Month'!A:N,10,FALSE)))</f>
        <v>0</v>
      </c>
      <c r="M297" s="43">
        <f>IF(ISERROR(VLOOKUP(A297,'Workings Prior Month'!A:N,11,FALSE))=TRUE,0,(VLOOKUP(A297,'Workings Prior Month'!A:N,11,FALSE)))</f>
        <v>0</v>
      </c>
      <c r="N297" s="49">
        <f t="shared" si="52"/>
        <v>0</v>
      </c>
      <c r="O297" s="137">
        <f>IF(ISERROR(VLOOKUP(A297,'Cross ref Tab'!A:C,3,FALSE)=TRUE),9500,VLOOKUP(A297,'Cross ref Tab'!A:C,3,FALSE))</f>
        <v>0</v>
      </c>
      <c r="P297" s="137">
        <f>IF(A297="","",COUNTIF('Cross ref Tab'!$A$3:$A$311,A297))</f>
      </c>
      <c r="Q297" s="182">
        <f t="shared" si="53"/>
      </c>
      <c r="R297" s="5">
        <f t="shared" si="54"/>
        <v>0</v>
      </c>
      <c r="S297" s="149">
        <f t="shared" si="55"/>
        <v>0</v>
      </c>
      <c r="T297" s="149">
        <f t="shared" si="56"/>
        <v>0</v>
      </c>
      <c r="U297" s="150">
        <f t="shared" si="57"/>
        <v>0</v>
      </c>
      <c r="V297" s="5" t="e">
        <f>VLOOKUP(A297,#REF!,7,FALSE)-C297</f>
        <v>#REF!</v>
      </c>
      <c r="W297" s="5" t="e">
        <f>SUMIF(#REF!,A297,#REF!)-C297</f>
        <v>#REF!</v>
      </c>
      <c r="X297" s="5"/>
      <c r="Y297" s="5"/>
      <c r="Z297" s="5"/>
      <c r="AA297" s="5"/>
      <c r="AB297" s="5"/>
      <c r="AC297" s="5"/>
      <c r="AD297" s="5"/>
      <c r="AE297" s="5"/>
      <c r="AF297" s="5"/>
      <c r="AG297" s="5"/>
      <c r="AH297" s="5"/>
      <c r="AI297" s="5"/>
      <c r="AJ297" s="5"/>
      <c r="AK297" s="5"/>
    </row>
    <row r="298" spans="1:37" ht="15" customHeight="1">
      <c r="A298" s="70">
        <f>IF(Download!B288="","",Download!B288)</f>
      </c>
      <c r="B298" s="70">
        <f>IF(Download!C288="","",Download!C288)</f>
      </c>
      <c r="C298" s="45"/>
      <c r="D298" s="42"/>
      <c r="E298" s="252">
        <f>IF(ISERROR(VLOOKUP(A298,'Workings Prior Month'!A:N,4,FALSE))=TRUE,0,(VLOOKUP(A298,'Workings Prior Month'!A:N,4,FALSE)))</f>
        <v>0</v>
      </c>
      <c r="F298" s="29" t="str">
        <f t="shared" si="49"/>
        <v>-</v>
      </c>
      <c r="G298" s="39"/>
      <c r="H298" s="39"/>
      <c r="I298" s="40"/>
      <c r="J298" s="47">
        <f t="shared" si="50"/>
        <v>0</v>
      </c>
      <c r="K298" s="37">
        <f t="shared" si="51"/>
        <v>0</v>
      </c>
      <c r="L298" s="43">
        <f>IF(ISERROR(VLOOKUP(A298,'Workings Prior Month'!A:N,10,FALSE))=TRUE,0,(VLOOKUP(A298,'Workings Prior Month'!A:N,10,FALSE)))</f>
        <v>0</v>
      </c>
      <c r="M298" s="43">
        <f>IF(ISERROR(VLOOKUP(A298,'Workings Prior Month'!A:N,11,FALSE))=TRUE,0,(VLOOKUP(A298,'Workings Prior Month'!A:N,11,FALSE)))</f>
        <v>0</v>
      </c>
      <c r="N298" s="49">
        <f t="shared" si="52"/>
        <v>0</v>
      </c>
      <c r="O298" s="137">
        <f>IF(ISERROR(VLOOKUP(A298,'Cross ref Tab'!A:C,3,FALSE)=TRUE),9500,VLOOKUP(A298,'Cross ref Tab'!A:C,3,FALSE))</f>
        <v>0</v>
      </c>
      <c r="P298" s="137">
        <f>IF(A298="","",COUNTIF('Cross ref Tab'!$A$3:$A$311,A298))</f>
      </c>
      <c r="Q298" s="182">
        <f t="shared" si="53"/>
      </c>
      <c r="R298" s="5">
        <f t="shared" si="54"/>
        <v>0</v>
      </c>
      <c r="S298" s="149">
        <f t="shared" si="55"/>
        <v>0</v>
      </c>
      <c r="T298" s="149">
        <f t="shared" si="56"/>
        <v>0</v>
      </c>
      <c r="U298" s="150">
        <f t="shared" si="57"/>
        <v>0</v>
      </c>
      <c r="V298" s="5" t="e">
        <f>VLOOKUP(A298,#REF!,7,FALSE)-C298</f>
        <v>#REF!</v>
      </c>
      <c r="W298" s="5" t="e">
        <f>SUMIF(#REF!,A298,#REF!)-C298</f>
        <v>#REF!</v>
      </c>
      <c r="X298" s="5"/>
      <c r="Y298" s="5"/>
      <c r="Z298" s="5"/>
      <c r="AA298" s="5"/>
      <c r="AB298" s="5"/>
      <c r="AC298" s="5"/>
      <c r="AD298" s="5"/>
      <c r="AE298" s="5"/>
      <c r="AF298" s="5"/>
      <c r="AG298" s="5"/>
      <c r="AH298" s="5"/>
      <c r="AI298" s="5"/>
      <c r="AJ298" s="5"/>
      <c r="AK298" s="5"/>
    </row>
    <row r="299" spans="1:37" ht="15" customHeight="1">
      <c r="A299" s="70">
        <f>IF(Download!B289="","",Download!B289)</f>
      </c>
      <c r="B299" s="70">
        <f>IF(Download!C289="","",Download!C289)</f>
      </c>
      <c r="C299" s="45"/>
      <c r="D299" s="42"/>
      <c r="E299" s="252">
        <f>IF(ISERROR(VLOOKUP(A299,'Workings Prior Month'!A:N,4,FALSE))=TRUE,0,(VLOOKUP(A299,'Workings Prior Month'!A:N,4,FALSE)))</f>
        <v>0</v>
      </c>
      <c r="F299" s="29" t="str">
        <f t="shared" si="49"/>
        <v>-</v>
      </c>
      <c r="G299" s="39"/>
      <c r="H299" s="39"/>
      <c r="I299" s="40"/>
      <c r="J299" s="47">
        <f t="shared" si="50"/>
        <v>0</v>
      </c>
      <c r="K299" s="37">
        <f t="shared" si="51"/>
        <v>0</v>
      </c>
      <c r="L299" s="43">
        <f>IF(ISERROR(VLOOKUP(A299,'Workings Prior Month'!A:N,10,FALSE))=TRUE,0,(VLOOKUP(A299,'Workings Prior Month'!A:N,10,FALSE)))</f>
        <v>0</v>
      </c>
      <c r="M299" s="43">
        <f>IF(ISERROR(VLOOKUP(A299,'Workings Prior Month'!A:N,11,FALSE))=TRUE,0,(VLOOKUP(A299,'Workings Prior Month'!A:N,11,FALSE)))</f>
        <v>0</v>
      </c>
      <c r="N299" s="49">
        <f t="shared" si="52"/>
        <v>0</v>
      </c>
      <c r="O299" s="137">
        <f>IF(ISERROR(VLOOKUP(A299,'Cross ref Tab'!A:C,3,FALSE)=TRUE),9500,VLOOKUP(A299,'Cross ref Tab'!A:C,3,FALSE))</f>
        <v>0</v>
      </c>
      <c r="P299" s="137">
        <f>IF(A299="","",COUNTIF('Cross ref Tab'!$A$3:$A$311,A299))</f>
      </c>
      <c r="Q299" s="182">
        <f t="shared" si="53"/>
      </c>
      <c r="R299" s="5">
        <f t="shared" si="54"/>
        <v>0</v>
      </c>
      <c r="S299" s="149">
        <f t="shared" si="55"/>
        <v>0</v>
      </c>
      <c r="T299" s="149">
        <f t="shared" si="56"/>
        <v>0</v>
      </c>
      <c r="U299" s="150">
        <f t="shared" si="57"/>
        <v>0</v>
      </c>
      <c r="V299" s="5" t="e">
        <f>VLOOKUP(A299,#REF!,7,FALSE)-C299</f>
        <v>#REF!</v>
      </c>
      <c r="W299" s="5" t="e">
        <f>SUMIF(#REF!,A299,#REF!)-C299</f>
        <v>#REF!</v>
      </c>
      <c r="X299" s="5"/>
      <c r="Y299" s="5"/>
      <c r="Z299" s="5"/>
      <c r="AA299" s="5"/>
      <c r="AB299" s="5"/>
      <c r="AC299" s="5"/>
      <c r="AD299" s="5"/>
      <c r="AE299" s="5"/>
      <c r="AF299" s="5"/>
      <c r="AG299" s="5"/>
      <c r="AH299" s="5"/>
      <c r="AI299" s="5"/>
      <c r="AJ299" s="5"/>
      <c r="AK299" s="5"/>
    </row>
    <row r="300" spans="1:37" ht="15" customHeight="1">
      <c r="A300" s="70">
        <f>IF(Download!B290="","",Download!B290)</f>
      </c>
      <c r="B300" s="70">
        <f>IF(Download!C290="","",Download!C290)</f>
      </c>
      <c r="C300" s="45"/>
      <c r="D300" s="42"/>
      <c r="E300" s="252">
        <f>IF(ISERROR(VLOOKUP(A300,'Workings Prior Month'!A:N,4,FALSE))=TRUE,0,(VLOOKUP(A300,'Workings Prior Month'!A:N,4,FALSE)))</f>
        <v>0</v>
      </c>
      <c r="F300" s="29" t="str">
        <f t="shared" si="49"/>
        <v>-</v>
      </c>
      <c r="G300" s="39"/>
      <c r="H300" s="39"/>
      <c r="I300" s="40"/>
      <c r="J300" s="47">
        <f t="shared" si="50"/>
        <v>0</v>
      </c>
      <c r="K300" s="37">
        <f t="shared" si="51"/>
        <v>0</v>
      </c>
      <c r="L300" s="43">
        <f>IF(ISERROR(VLOOKUP(A300,'Workings Prior Month'!A:N,10,FALSE))=TRUE,0,(VLOOKUP(A300,'Workings Prior Month'!A:N,10,FALSE)))</f>
        <v>0</v>
      </c>
      <c r="M300" s="43">
        <f>IF(ISERROR(VLOOKUP(A300,'Workings Prior Month'!A:N,11,FALSE))=TRUE,0,(VLOOKUP(A300,'Workings Prior Month'!A:N,11,FALSE)))</f>
        <v>0</v>
      </c>
      <c r="N300" s="49">
        <f t="shared" si="52"/>
        <v>0</v>
      </c>
      <c r="O300" s="137">
        <f>IF(ISERROR(VLOOKUP(A300,'Cross ref Tab'!A:C,3,FALSE)=TRUE),9500,VLOOKUP(A300,'Cross ref Tab'!A:C,3,FALSE))</f>
        <v>0</v>
      </c>
      <c r="P300" s="137">
        <f>IF(A300="","",COUNTIF('Cross ref Tab'!$A$3:$A$311,A300))</f>
      </c>
      <c r="Q300" s="182">
        <f t="shared" si="53"/>
      </c>
      <c r="R300" s="5">
        <f t="shared" si="54"/>
        <v>0</v>
      </c>
      <c r="S300" s="149">
        <f t="shared" si="55"/>
        <v>0</v>
      </c>
      <c r="T300" s="149">
        <f t="shared" si="56"/>
        <v>0</v>
      </c>
      <c r="U300" s="150">
        <f t="shared" si="57"/>
        <v>0</v>
      </c>
      <c r="V300" s="5" t="e">
        <f>VLOOKUP(A300,#REF!,7,FALSE)-C300</f>
        <v>#REF!</v>
      </c>
      <c r="W300" s="5" t="e">
        <f>SUMIF(#REF!,A300,#REF!)-C300</f>
        <v>#REF!</v>
      </c>
      <c r="X300" s="5"/>
      <c r="Y300" s="5"/>
      <c r="Z300" s="5"/>
      <c r="AA300" s="5"/>
      <c r="AB300" s="5"/>
      <c r="AC300" s="5"/>
      <c r="AD300" s="5"/>
      <c r="AE300" s="5"/>
      <c r="AF300" s="5"/>
      <c r="AG300" s="5"/>
      <c r="AH300" s="5"/>
      <c r="AI300" s="5"/>
      <c r="AJ300" s="5"/>
      <c r="AK300" s="5"/>
    </row>
    <row r="301" spans="1:37" ht="15" customHeight="1">
      <c r="A301" s="70">
        <f>IF(Download!B291="","",Download!B291)</f>
      </c>
      <c r="B301" s="70">
        <f>IF(Download!C291="","",Download!C291)</f>
      </c>
      <c r="C301" s="45"/>
      <c r="D301" s="42"/>
      <c r="E301" s="252">
        <f>IF(ISERROR(VLOOKUP(A301,'Workings Prior Month'!A:N,4,FALSE))=TRUE,0,(VLOOKUP(A301,'Workings Prior Month'!A:N,4,FALSE)))</f>
        <v>0</v>
      </c>
      <c r="F301" s="29" t="str">
        <f t="shared" si="49"/>
        <v>-</v>
      </c>
      <c r="G301" s="39"/>
      <c r="H301" s="39"/>
      <c r="I301" s="40"/>
      <c r="J301" s="47">
        <f t="shared" si="50"/>
        <v>0</v>
      </c>
      <c r="K301" s="37">
        <f t="shared" si="51"/>
        <v>0</v>
      </c>
      <c r="L301" s="43">
        <f>IF(ISERROR(VLOOKUP(A301,'Workings Prior Month'!A:N,10,FALSE))=TRUE,0,(VLOOKUP(A301,'Workings Prior Month'!A:N,10,FALSE)))</f>
        <v>0</v>
      </c>
      <c r="M301" s="43">
        <f>IF(ISERROR(VLOOKUP(A301,'Workings Prior Month'!A:N,11,FALSE))=TRUE,0,(VLOOKUP(A301,'Workings Prior Month'!A:N,11,FALSE)))</f>
        <v>0</v>
      </c>
      <c r="N301" s="49">
        <f t="shared" si="52"/>
        <v>0</v>
      </c>
      <c r="O301" s="137">
        <f>IF(ISERROR(VLOOKUP(A301,'Cross ref Tab'!A:C,3,FALSE)=TRUE),9500,VLOOKUP(A301,'Cross ref Tab'!A:C,3,FALSE))</f>
        <v>0</v>
      </c>
      <c r="P301" s="137">
        <f>IF(A301="","",COUNTIF('Cross ref Tab'!$A$3:$A$311,A301))</f>
      </c>
      <c r="Q301" s="182">
        <f t="shared" si="53"/>
      </c>
      <c r="R301" s="5">
        <f t="shared" si="54"/>
        <v>0</v>
      </c>
      <c r="S301" s="149">
        <f t="shared" si="55"/>
        <v>0</v>
      </c>
      <c r="T301" s="149">
        <f t="shared" si="56"/>
        <v>0</v>
      </c>
      <c r="U301" s="150">
        <f t="shared" si="57"/>
        <v>0</v>
      </c>
      <c r="V301" s="5" t="e">
        <f>VLOOKUP(A301,#REF!,7,FALSE)-C301</f>
        <v>#REF!</v>
      </c>
      <c r="W301" s="5" t="e">
        <f>SUMIF(#REF!,A301,#REF!)-C301</f>
        <v>#REF!</v>
      </c>
      <c r="X301" s="5"/>
      <c r="Y301" s="5"/>
      <c r="Z301" s="5"/>
      <c r="AA301" s="5"/>
      <c r="AB301" s="5"/>
      <c r="AC301" s="5"/>
      <c r="AD301" s="5"/>
      <c r="AE301" s="5"/>
      <c r="AF301" s="5"/>
      <c r="AG301" s="5"/>
      <c r="AH301" s="5"/>
      <c r="AI301" s="5"/>
      <c r="AJ301" s="5"/>
      <c r="AK301" s="5"/>
    </row>
    <row r="302" spans="1:37" ht="15" customHeight="1">
      <c r="A302" s="70">
        <f>IF(Download!B292="","",Download!B292)</f>
      </c>
      <c r="B302" s="70">
        <f>IF(Download!C292="","",Download!C292)</f>
      </c>
      <c r="C302" s="45"/>
      <c r="D302" s="42"/>
      <c r="E302" s="252">
        <f>IF(ISERROR(VLOOKUP(A302,'Workings Prior Month'!A:N,4,FALSE))=TRUE,0,(VLOOKUP(A302,'Workings Prior Month'!A:N,4,FALSE)))</f>
        <v>0</v>
      </c>
      <c r="F302" s="29" t="str">
        <f t="shared" si="49"/>
        <v>-</v>
      </c>
      <c r="G302" s="61"/>
      <c r="H302" s="61"/>
      <c r="I302" s="62"/>
      <c r="J302" s="47">
        <f t="shared" si="50"/>
        <v>0</v>
      </c>
      <c r="K302" s="37">
        <f t="shared" si="51"/>
        <v>0</v>
      </c>
      <c r="L302" s="43">
        <f>IF(ISERROR(VLOOKUP(A302,'Workings Prior Month'!A:N,10,FALSE))=TRUE,0,(VLOOKUP(A302,'Workings Prior Month'!A:N,10,FALSE)))</f>
        <v>0</v>
      </c>
      <c r="M302" s="43">
        <f>IF(ISERROR(VLOOKUP(A302,'Workings Prior Month'!A:N,11,FALSE))=TRUE,0,(VLOOKUP(A302,'Workings Prior Month'!A:N,11,FALSE)))</f>
        <v>0</v>
      </c>
      <c r="N302" s="49">
        <f t="shared" si="52"/>
        <v>0</v>
      </c>
      <c r="O302" s="137">
        <f>IF(ISERROR(VLOOKUP(A302,'Cross ref Tab'!A:C,3,FALSE)=TRUE),9500,VLOOKUP(A302,'Cross ref Tab'!A:C,3,FALSE))</f>
        <v>0</v>
      </c>
      <c r="P302" s="137">
        <f>IF(A302="","",COUNTIF('Cross ref Tab'!$A$3:$A$311,A302))</f>
      </c>
      <c r="Q302" s="182">
        <f t="shared" si="53"/>
      </c>
      <c r="R302" s="5">
        <f t="shared" si="54"/>
        <v>0</v>
      </c>
      <c r="S302" s="149">
        <f t="shared" si="55"/>
        <v>0</v>
      </c>
      <c r="T302" s="149">
        <f t="shared" si="56"/>
        <v>0</v>
      </c>
      <c r="U302" s="150">
        <f t="shared" si="57"/>
        <v>0</v>
      </c>
      <c r="V302" s="5" t="e">
        <f>VLOOKUP(A302,#REF!,7,FALSE)-C302</f>
        <v>#REF!</v>
      </c>
      <c r="W302" s="5" t="e">
        <f>SUMIF(#REF!,A302,#REF!)-C302</f>
        <v>#REF!</v>
      </c>
      <c r="X302" s="5"/>
      <c r="Y302" s="5"/>
      <c r="Z302" s="5"/>
      <c r="AA302" s="5"/>
      <c r="AB302" s="5"/>
      <c r="AC302" s="5"/>
      <c r="AD302" s="5"/>
      <c r="AE302" s="5"/>
      <c r="AF302" s="5"/>
      <c r="AG302" s="5"/>
      <c r="AH302" s="5"/>
      <c r="AI302" s="5"/>
      <c r="AJ302" s="5"/>
      <c r="AK302" s="5"/>
    </row>
    <row r="303" spans="1:23" ht="15" customHeight="1">
      <c r="A303" s="70">
        <f>IF(Download!B293="","",Download!B293)</f>
      </c>
      <c r="B303" s="70">
        <f>IF(Download!C293="","",Download!C293)</f>
      </c>
      <c r="C303" s="45"/>
      <c r="D303" s="42"/>
      <c r="E303" s="252">
        <f>IF(ISERROR(VLOOKUP(A303,'Workings Prior Month'!A:N,4,FALSE))=TRUE,0,(VLOOKUP(A303,'Workings Prior Month'!A:N,4,FALSE)))</f>
        <v>0</v>
      </c>
      <c r="F303" s="29" t="str">
        <f t="shared" si="49"/>
        <v>-</v>
      </c>
      <c r="G303" s="39"/>
      <c r="H303" s="39"/>
      <c r="I303" s="40"/>
      <c r="J303" s="47">
        <f t="shared" si="50"/>
        <v>0</v>
      </c>
      <c r="K303" s="37">
        <f t="shared" si="51"/>
        <v>0</v>
      </c>
      <c r="L303" s="43">
        <f>IF(ISERROR(VLOOKUP(A303,'Workings Prior Month'!A:N,10,FALSE))=TRUE,0,(VLOOKUP(A303,'Workings Prior Month'!A:N,10,FALSE)))</f>
        <v>0</v>
      </c>
      <c r="M303" s="43">
        <f>IF(ISERROR(VLOOKUP(A303,'Workings Prior Month'!A:N,11,FALSE))=TRUE,0,(VLOOKUP(A303,'Workings Prior Month'!A:N,11,FALSE)))</f>
        <v>0</v>
      </c>
      <c r="N303" s="49">
        <f t="shared" si="52"/>
        <v>0</v>
      </c>
      <c r="O303" s="137">
        <f>IF(ISERROR(VLOOKUP(A303,'Cross ref Tab'!A:C,3,FALSE)=TRUE),9500,VLOOKUP(A303,'Cross ref Tab'!A:C,3,FALSE))</f>
        <v>0</v>
      </c>
      <c r="P303" s="137">
        <f>IF(A303="","",COUNTIF('Cross ref Tab'!$A$3:$A$311,A303))</f>
      </c>
      <c r="Q303" s="182">
        <f t="shared" si="53"/>
      </c>
      <c r="R303" s="5">
        <f t="shared" si="54"/>
        <v>0</v>
      </c>
      <c r="S303" s="149">
        <f t="shared" si="55"/>
        <v>0</v>
      </c>
      <c r="T303" s="149">
        <f t="shared" si="56"/>
        <v>0</v>
      </c>
      <c r="U303" s="150">
        <f t="shared" si="57"/>
        <v>0</v>
      </c>
      <c r="V303" s="5" t="e">
        <f>VLOOKUP(A303,#REF!,7,FALSE)-C303</f>
        <v>#REF!</v>
      </c>
      <c r="W303" s="5" t="e">
        <f>SUMIF(#REF!,A303,#REF!)-C303</f>
        <v>#REF!</v>
      </c>
    </row>
    <row r="304" spans="1:23" ht="15" customHeight="1">
      <c r="A304" s="70">
        <f>IF(Download!B294="","",Download!B294)</f>
      </c>
      <c r="B304" s="70">
        <f>IF(Download!C294="","",Download!C294)</f>
      </c>
      <c r="C304" s="45"/>
      <c r="D304" s="42"/>
      <c r="E304" s="252">
        <f>IF(ISERROR(VLOOKUP(A304,'Workings Prior Month'!A:N,4,FALSE))=TRUE,0,(VLOOKUP(A304,'Workings Prior Month'!A:N,4,FALSE)))</f>
        <v>0</v>
      </c>
      <c r="F304" s="29" t="str">
        <f t="shared" si="49"/>
        <v>-</v>
      </c>
      <c r="G304" s="39"/>
      <c r="H304" s="39"/>
      <c r="I304" s="40"/>
      <c r="J304" s="47">
        <f t="shared" si="50"/>
        <v>0</v>
      </c>
      <c r="K304" s="37">
        <f t="shared" si="51"/>
        <v>0</v>
      </c>
      <c r="L304" s="43">
        <f>IF(ISERROR(VLOOKUP(A304,'Workings Prior Month'!A:N,10,FALSE))=TRUE,0,(VLOOKUP(A304,'Workings Prior Month'!A:N,10,FALSE)))</f>
        <v>0</v>
      </c>
      <c r="M304" s="43">
        <f>IF(ISERROR(VLOOKUP(A304,'Workings Prior Month'!A:N,11,FALSE))=TRUE,0,(VLOOKUP(A304,'Workings Prior Month'!A:N,11,FALSE)))</f>
        <v>0</v>
      </c>
      <c r="N304" s="49">
        <f t="shared" si="52"/>
        <v>0</v>
      </c>
      <c r="O304" s="137">
        <f>IF(ISERROR(VLOOKUP(A304,'Cross ref Tab'!A:C,3,FALSE)=TRUE),9500,VLOOKUP(A304,'Cross ref Tab'!A:C,3,FALSE))</f>
        <v>0</v>
      </c>
      <c r="P304" s="137">
        <f>IF(A304="","",COUNTIF('Cross ref Tab'!$A$3:$A$311,A304))</f>
      </c>
      <c r="Q304" s="182">
        <f t="shared" si="53"/>
      </c>
      <c r="R304" s="5">
        <f t="shared" si="54"/>
        <v>0</v>
      </c>
      <c r="S304" s="149">
        <f t="shared" si="55"/>
        <v>0</v>
      </c>
      <c r="T304" s="149">
        <f t="shared" si="56"/>
        <v>0</v>
      </c>
      <c r="U304" s="150">
        <f t="shared" si="57"/>
        <v>0</v>
      </c>
      <c r="V304" s="5" t="e">
        <f>VLOOKUP(A304,#REF!,7,FALSE)-C304</f>
        <v>#REF!</v>
      </c>
      <c r="W304" s="5" t="e">
        <f>SUMIF(#REF!,A304,#REF!)-C304</f>
        <v>#REF!</v>
      </c>
    </row>
    <row r="305" spans="1:23" ht="15" customHeight="1">
      <c r="A305" s="70">
        <f>IF(Download!B295="","",Download!B295)</f>
      </c>
      <c r="B305" s="70">
        <f>IF(Download!C295="","",Download!C295)</f>
      </c>
      <c r="C305" s="45"/>
      <c r="D305" s="42"/>
      <c r="E305" s="252">
        <f>IF(ISERROR(VLOOKUP(A305,'Workings Prior Month'!A:N,4,FALSE))=TRUE,0,(VLOOKUP(A305,'Workings Prior Month'!A:N,4,FALSE)))</f>
        <v>0</v>
      </c>
      <c r="F305" s="29" t="str">
        <f t="shared" si="49"/>
        <v>-</v>
      </c>
      <c r="G305" s="39"/>
      <c r="H305" s="39"/>
      <c r="I305" s="40"/>
      <c r="J305" s="47">
        <f t="shared" si="50"/>
        <v>0</v>
      </c>
      <c r="K305" s="37">
        <f t="shared" si="51"/>
        <v>0</v>
      </c>
      <c r="L305" s="43">
        <f>IF(ISERROR(VLOOKUP(A305,'Workings Prior Month'!A:N,10,FALSE))=TRUE,0,(VLOOKUP(A305,'Workings Prior Month'!A:N,10,FALSE)))</f>
        <v>0</v>
      </c>
      <c r="M305" s="43">
        <f>IF(ISERROR(VLOOKUP(A305,'Workings Prior Month'!A:N,11,FALSE))=TRUE,0,(VLOOKUP(A305,'Workings Prior Month'!A:N,11,FALSE)))</f>
        <v>0</v>
      </c>
      <c r="N305" s="49">
        <f t="shared" si="52"/>
        <v>0</v>
      </c>
      <c r="O305" s="137">
        <f>IF(ISERROR(VLOOKUP(A305,'Cross ref Tab'!A:C,3,FALSE)=TRUE),9500,VLOOKUP(A305,'Cross ref Tab'!A:C,3,FALSE))</f>
        <v>0</v>
      </c>
      <c r="P305" s="137">
        <f>IF(A305="","",COUNTIF('Cross ref Tab'!$A$3:$A$311,A305))</f>
      </c>
      <c r="Q305" s="182">
        <f t="shared" si="53"/>
      </c>
      <c r="R305" s="5">
        <f t="shared" si="54"/>
        <v>0</v>
      </c>
      <c r="S305" s="149">
        <f t="shared" si="55"/>
        <v>0</v>
      </c>
      <c r="T305" s="149">
        <f t="shared" si="56"/>
        <v>0</v>
      </c>
      <c r="U305" s="150">
        <f t="shared" si="57"/>
        <v>0</v>
      </c>
      <c r="V305" s="5" t="e">
        <f>VLOOKUP(A305,#REF!,7,FALSE)-C305</f>
        <v>#REF!</v>
      </c>
      <c r="W305" s="5" t="e">
        <f>SUMIF(#REF!,A305,#REF!)-C305</f>
        <v>#REF!</v>
      </c>
    </row>
    <row r="306" spans="1:23" ht="15" customHeight="1">
      <c r="A306" s="70">
        <f>IF(Download!B296="","",Download!B296)</f>
      </c>
      <c r="B306" s="70">
        <f>IF(Download!C296="","",Download!C296)</f>
      </c>
      <c r="C306" s="45"/>
      <c r="D306" s="42"/>
      <c r="E306" s="252">
        <f>IF(ISERROR(VLOOKUP(A306,'Workings Prior Month'!A:N,4,FALSE))=TRUE,0,(VLOOKUP(A306,'Workings Prior Month'!A:N,4,FALSE)))</f>
        <v>0</v>
      </c>
      <c r="F306" s="29" t="str">
        <f t="shared" si="49"/>
        <v>-</v>
      </c>
      <c r="G306" s="39"/>
      <c r="H306" s="39"/>
      <c r="I306" s="40"/>
      <c r="J306" s="47">
        <f t="shared" si="50"/>
        <v>0</v>
      </c>
      <c r="K306" s="37">
        <f t="shared" si="51"/>
        <v>0</v>
      </c>
      <c r="L306" s="43">
        <f>IF(ISERROR(VLOOKUP(A306,'Workings Prior Month'!A:N,10,FALSE))=TRUE,0,(VLOOKUP(A306,'Workings Prior Month'!A:N,10,FALSE)))</f>
        <v>0</v>
      </c>
      <c r="M306" s="43">
        <f>IF(ISERROR(VLOOKUP(A306,'Workings Prior Month'!A:N,11,FALSE))=TRUE,0,(VLOOKUP(A306,'Workings Prior Month'!A:N,11,FALSE)))</f>
        <v>0</v>
      </c>
      <c r="N306" s="49">
        <f t="shared" si="52"/>
        <v>0</v>
      </c>
      <c r="O306" s="137">
        <f>IF(ISERROR(VLOOKUP(A306,'Cross ref Tab'!A:C,3,FALSE)=TRUE),9500,VLOOKUP(A306,'Cross ref Tab'!A:C,3,FALSE))</f>
        <v>0</v>
      </c>
      <c r="P306" s="137">
        <f>IF(A306="","",COUNTIF('Cross ref Tab'!$A$3:$A$311,A306))</f>
      </c>
      <c r="Q306" s="182">
        <f t="shared" si="53"/>
      </c>
      <c r="R306" s="5">
        <f t="shared" si="54"/>
        <v>0</v>
      </c>
      <c r="S306" s="149">
        <f t="shared" si="55"/>
        <v>0</v>
      </c>
      <c r="T306" s="149">
        <f t="shared" si="56"/>
        <v>0</v>
      </c>
      <c r="U306" s="150">
        <f t="shared" si="57"/>
        <v>0</v>
      </c>
      <c r="V306" s="5" t="e">
        <f>VLOOKUP(A306,#REF!,7,FALSE)-C306</f>
        <v>#REF!</v>
      </c>
      <c r="W306" s="5" t="e">
        <f>SUMIF(#REF!,A306,#REF!)-C306</f>
        <v>#REF!</v>
      </c>
    </row>
    <row r="307" spans="1:23" ht="15" customHeight="1">
      <c r="A307" s="70">
        <f>IF(Download!B297="","",Download!B297)</f>
      </c>
      <c r="B307" s="70">
        <f>IF(Download!C297="","",Download!C297)</f>
      </c>
      <c r="C307" s="45"/>
      <c r="D307" s="42"/>
      <c r="E307" s="252">
        <f>IF(ISERROR(VLOOKUP(A307,'Workings Prior Month'!A:N,4,FALSE))=TRUE,0,(VLOOKUP(A307,'Workings Prior Month'!A:N,4,FALSE)))</f>
        <v>0</v>
      </c>
      <c r="F307" s="29" t="str">
        <f t="shared" si="49"/>
        <v>-</v>
      </c>
      <c r="G307" s="39"/>
      <c r="H307" s="39"/>
      <c r="I307" s="40"/>
      <c r="J307" s="47">
        <f t="shared" si="50"/>
        <v>0</v>
      </c>
      <c r="K307" s="37">
        <f t="shared" si="51"/>
        <v>0</v>
      </c>
      <c r="L307" s="43">
        <f>IF(ISERROR(VLOOKUP(A307,'Workings Prior Month'!A:N,10,FALSE))=TRUE,0,(VLOOKUP(A307,'Workings Prior Month'!A:N,10,FALSE)))</f>
        <v>0</v>
      </c>
      <c r="M307" s="43">
        <f>IF(ISERROR(VLOOKUP(A307,'Workings Prior Month'!A:N,11,FALSE))=TRUE,0,(VLOOKUP(A307,'Workings Prior Month'!A:N,11,FALSE)))</f>
        <v>0</v>
      </c>
      <c r="N307" s="49">
        <f t="shared" si="52"/>
        <v>0</v>
      </c>
      <c r="O307" s="137">
        <f>IF(ISERROR(VLOOKUP(A307,'Cross ref Tab'!A:C,3,FALSE)=TRUE),9500,VLOOKUP(A307,'Cross ref Tab'!A:C,3,FALSE))</f>
        <v>0</v>
      </c>
      <c r="P307" s="137">
        <f>IF(A307="","",COUNTIF('Cross ref Tab'!$A$3:$A$311,A307))</f>
      </c>
      <c r="Q307" s="182">
        <f t="shared" si="53"/>
      </c>
      <c r="R307" s="5">
        <f t="shared" si="54"/>
        <v>0</v>
      </c>
      <c r="S307" s="149">
        <f t="shared" si="55"/>
        <v>0</v>
      </c>
      <c r="T307" s="149">
        <f t="shared" si="56"/>
        <v>0</v>
      </c>
      <c r="U307" s="150">
        <f t="shared" si="57"/>
        <v>0</v>
      </c>
      <c r="V307" s="5" t="e">
        <f>VLOOKUP(A307,#REF!,7,FALSE)-C307</f>
        <v>#REF!</v>
      </c>
      <c r="W307" s="5" t="e">
        <f>SUMIF(#REF!,A307,#REF!)-C307</f>
        <v>#REF!</v>
      </c>
    </row>
    <row r="308" spans="1:23" ht="15" customHeight="1">
      <c r="A308" s="70">
        <f>IF(Download!B298="","",Download!B298)</f>
      </c>
      <c r="B308" s="70">
        <f>IF(Download!C298="","",Download!C298)</f>
      </c>
      <c r="C308" s="45"/>
      <c r="D308" s="42"/>
      <c r="E308" s="252">
        <f>IF(ISERROR(VLOOKUP(A308,'Workings Prior Month'!A:N,4,FALSE))=TRUE,0,(VLOOKUP(A308,'Workings Prior Month'!A:N,4,FALSE)))</f>
        <v>0</v>
      </c>
      <c r="F308" s="29" t="str">
        <f t="shared" si="49"/>
        <v>-</v>
      </c>
      <c r="G308" s="39"/>
      <c r="H308" s="39"/>
      <c r="I308" s="40"/>
      <c r="J308" s="47">
        <f t="shared" si="50"/>
        <v>0</v>
      </c>
      <c r="K308" s="37">
        <f t="shared" si="51"/>
        <v>0</v>
      </c>
      <c r="L308" s="43">
        <f>IF(ISERROR(VLOOKUP(A308,'Workings Prior Month'!A:N,10,FALSE))=TRUE,0,(VLOOKUP(A308,'Workings Prior Month'!A:N,10,FALSE)))</f>
        <v>0</v>
      </c>
      <c r="M308" s="43">
        <f>IF(ISERROR(VLOOKUP(A308,'Workings Prior Month'!A:N,11,FALSE))=TRUE,0,(VLOOKUP(A308,'Workings Prior Month'!A:N,11,FALSE)))</f>
        <v>0</v>
      </c>
      <c r="N308" s="49">
        <f t="shared" si="52"/>
        <v>0</v>
      </c>
      <c r="O308" s="137">
        <f>IF(ISERROR(VLOOKUP(A308,'Cross ref Tab'!A:C,3,FALSE)=TRUE),9500,VLOOKUP(A308,'Cross ref Tab'!A:C,3,FALSE))</f>
        <v>0</v>
      </c>
      <c r="P308" s="137">
        <f>IF(A308="","",COUNTIF('Cross ref Tab'!$A$3:$A$311,A308))</f>
      </c>
      <c r="Q308" s="182">
        <f t="shared" si="53"/>
      </c>
      <c r="R308" s="5">
        <f t="shared" si="54"/>
        <v>0</v>
      </c>
      <c r="S308" s="149">
        <f t="shared" si="55"/>
        <v>0</v>
      </c>
      <c r="T308" s="149">
        <f t="shared" si="56"/>
        <v>0</v>
      </c>
      <c r="U308" s="150">
        <f t="shared" si="57"/>
        <v>0</v>
      </c>
      <c r="V308" s="5" t="e">
        <f>VLOOKUP(A308,#REF!,7,FALSE)-C308</f>
        <v>#REF!</v>
      </c>
      <c r="W308" s="5" t="e">
        <f>SUMIF(#REF!,A308,#REF!)-C308</f>
        <v>#REF!</v>
      </c>
    </row>
    <row r="309" spans="1:23" ht="15" customHeight="1">
      <c r="A309" s="70">
        <f>IF(Download!B299="","",Download!B299)</f>
      </c>
      <c r="B309" s="70">
        <f>IF(Download!C299="","",Download!C299)</f>
      </c>
      <c r="C309" s="45"/>
      <c r="D309" s="42"/>
      <c r="E309" s="252">
        <f>IF(ISERROR(VLOOKUP(A309,'Workings Prior Month'!A:N,4,FALSE))=TRUE,0,(VLOOKUP(A309,'Workings Prior Month'!A:N,4,FALSE)))</f>
        <v>0</v>
      </c>
      <c r="F309" s="29" t="str">
        <f t="shared" si="49"/>
        <v>-</v>
      </c>
      <c r="G309" s="39"/>
      <c r="H309" s="39"/>
      <c r="I309" s="40"/>
      <c r="J309" s="47">
        <f t="shared" si="50"/>
        <v>0</v>
      </c>
      <c r="K309" s="37">
        <f t="shared" si="51"/>
        <v>0</v>
      </c>
      <c r="L309" s="43">
        <f>IF(ISERROR(VLOOKUP(A309,'Workings Prior Month'!A:N,10,FALSE))=TRUE,0,(VLOOKUP(A309,'Workings Prior Month'!A:N,10,FALSE)))</f>
        <v>0</v>
      </c>
      <c r="M309" s="43">
        <f>IF(ISERROR(VLOOKUP(A309,'Workings Prior Month'!A:N,11,FALSE))=TRUE,0,(VLOOKUP(A309,'Workings Prior Month'!A:N,11,FALSE)))</f>
        <v>0</v>
      </c>
      <c r="N309" s="49">
        <f t="shared" si="52"/>
        <v>0</v>
      </c>
      <c r="O309" s="137">
        <f>IF(ISERROR(VLOOKUP(A309,'Cross ref Tab'!A:C,3,FALSE)=TRUE),9500,VLOOKUP(A309,'Cross ref Tab'!A:C,3,FALSE))</f>
        <v>0</v>
      </c>
      <c r="P309" s="137">
        <f>IF(A309="","",COUNTIF('Cross ref Tab'!$A$3:$A$311,A309))</f>
      </c>
      <c r="Q309" s="182">
        <f t="shared" si="53"/>
      </c>
      <c r="R309" s="5">
        <f t="shared" si="54"/>
        <v>0</v>
      </c>
      <c r="S309" s="149">
        <f t="shared" si="55"/>
        <v>0</v>
      </c>
      <c r="T309" s="149">
        <f t="shared" si="56"/>
        <v>0</v>
      </c>
      <c r="U309" s="150">
        <f t="shared" si="57"/>
        <v>0</v>
      </c>
      <c r="V309" s="5" t="e">
        <f>VLOOKUP(A309,#REF!,7,FALSE)-C309</f>
        <v>#REF!</v>
      </c>
      <c r="W309" s="5" t="e">
        <f>SUMIF(#REF!,A309,#REF!)-C309</f>
        <v>#REF!</v>
      </c>
    </row>
    <row r="310" spans="1:23" ht="15" customHeight="1">
      <c r="A310" s="70">
        <f>IF(Download!B300="","",Download!B300)</f>
      </c>
      <c r="B310" s="70">
        <f>IF(Download!C300="","",Download!C300)</f>
      </c>
      <c r="C310" s="45"/>
      <c r="D310" s="42"/>
      <c r="E310" s="252">
        <f>IF(ISERROR(VLOOKUP(A310,'Workings Prior Month'!A:N,4,FALSE))=TRUE,0,(VLOOKUP(A310,'Workings Prior Month'!A:N,4,FALSE)))</f>
        <v>0</v>
      </c>
      <c r="F310" s="29" t="str">
        <f t="shared" si="49"/>
        <v>-</v>
      </c>
      <c r="G310" s="39"/>
      <c r="H310" s="39"/>
      <c r="I310" s="40"/>
      <c r="J310" s="47">
        <f t="shared" si="50"/>
        <v>0</v>
      </c>
      <c r="K310" s="37">
        <f t="shared" si="51"/>
        <v>0</v>
      </c>
      <c r="L310" s="43">
        <f>IF(ISERROR(VLOOKUP(A310,'Workings Prior Month'!A:N,10,FALSE))=TRUE,0,(VLOOKUP(A310,'Workings Prior Month'!A:N,10,FALSE)))</f>
        <v>0</v>
      </c>
      <c r="M310" s="43">
        <f>IF(ISERROR(VLOOKUP(A310,'Workings Prior Month'!A:N,11,FALSE))=TRUE,0,(VLOOKUP(A310,'Workings Prior Month'!A:N,11,FALSE)))</f>
        <v>0</v>
      </c>
      <c r="N310" s="49">
        <f t="shared" si="52"/>
        <v>0</v>
      </c>
      <c r="O310" s="137">
        <f>IF(ISERROR(VLOOKUP(A310,'Cross ref Tab'!A:C,3,FALSE)=TRUE),9500,VLOOKUP(A310,'Cross ref Tab'!A:C,3,FALSE))</f>
        <v>0</v>
      </c>
      <c r="P310" s="137">
        <f>IF(A310="","",COUNTIF('Cross ref Tab'!$A$3:$A$311,A310))</f>
      </c>
      <c r="Q310" s="182">
        <f t="shared" si="53"/>
      </c>
      <c r="R310" s="5">
        <f t="shared" si="54"/>
        <v>0</v>
      </c>
      <c r="S310" s="149">
        <f t="shared" si="55"/>
        <v>0</v>
      </c>
      <c r="T310" s="149">
        <f t="shared" si="56"/>
        <v>0</v>
      </c>
      <c r="U310" s="150">
        <f t="shared" si="57"/>
        <v>0</v>
      </c>
      <c r="V310" s="5" t="e">
        <f>VLOOKUP(A310,#REF!,7,FALSE)-C310</f>
        <v>#REF!</v>
      </c>
      <c r="W310" s="5" t="e">
        <f>SUMIF(#REF!,A310,#REF!)-C310</f>
        <v>#REF!</v>
      </c>
    </row>
    <row r="311" spans="1:23" ht="15" customHeight="1">
      <c r="A311" s="70">
        <f>IF(Download!B301="","",Download!B301)</f>
      </c>
      <c r="B311" s="70">
        <f>IF(Download!C301="","",Download!C301)</f>
      </c>
      <c r="C311" s="45"/>
      <c r="D311" s="42"/>
      <c r="E311" s="252">
        <f>IF(ISERROR(VLOOKUP(A311,'Workings Prior Month'!A:N,4,FALSE))=TRUE,0,(VLOOKUP(A311,'Workings Prior Month'!A:N,4,FALSE)))</f>
        <v>0</v>
      </c>
      <c r="F311" s="29" t="str">
        <f t="shared" si="49"/>
        <v>-</v>
      </c>
      <c r="G311" s="39"/>
      <c r="H311" s="39"/>
      <c r="I311" s="40"/>
      <c r="J311" s="47">
        <f t="shared" si="50"/>
        <v>0</v>
      </c>
      <c r="K311" s="37">
        <f t="shared" si="51"/>
        <v>0</v>
      </c>
      <c r="L311" s="43">
        <f>IF(ISERROR(VLOOKUP(A311,'Workings Prior Month'!A:N,10,FALSE))=TRUE,0,(VLOOKUP(A311,'Workings Prior Month'!A:N,10,FALSE)))</f>
        <v>0</v>
      </c>
      <c r="M311" s="43">
        <f>IF(ISERROR(VLOOKUP(A311,'Workings Prior Month'!A:N,11,FALSE))=TRUE,0,(VLOOKUP(A311,'Workings Prior Month'!A:N,11,FALSE)))</f>
        <v>0</v>
      </c>
      <c r="N311" s="49">
        <f t="shared" si="52"/>
        <v>0</v>
      </c>
      <c r="O311" s="137">
        <f>IF(ISERROR(VLOOKUP(A311,'Cross ref Tab'!A:C,3,FALSE)=TRUE),9500,VLOOKUP(A311,'Cross ref Tab'!A:C,3,FALSE))</f>
        <v>0</v>
      </c>
      <c r="P311" s="137">
        <f>IF(A311="","",COUNTIF('Cross ref Tab'!$A$3:$A$311,A311))</f>
      </c>
      <c r="Q311" s="182">
        <f t="shared" si="53"/>
      </c>
      <c r="R311" s="5">
        <f t="shared" si="54"/>
        <v>0</v>
      </c>
      <c r="S311" s="149">
        <f t="shared" si="55"/>
        <v>0</v>
      </c>
      <c r="T311" s="149">
        <f t="shared" si="56"/>
        <v>0</v>
      </c>
      <c r="U311" s="150">
        <f t="shared" si="57"/>
        <v>0</v>
      </c>
      <c r="V311" s="5" t="e">
        <f>VLOOKUP(A311,#REF!,7,FALSE)-C311</f>
        <v>#REF!</v>
      </c>
      <c r="W311" s="5" t="e">
        <f>SUMIF(#REF!,A311,#REF!)-C311</f>
        <v>#REF!</v>
      </c>
    </row>
    <row r="312" spans="1:23" ht="15" customHeight="1">
      <c r="A312" s="70">
        <f>IF(Download!B302="","",Download!B302)</f>
      </c>
      <c r="B312" s="70">
        <f>IF(Download!C302="","",Download!C302)</f>
      </c>
      <c r="C312" s="45"/>
      <c r="D312" s="42"/>
      <c r="E312" s="252">
        <f>IF(ISERROR(VLOOKUP(A312,'Workings Prior Month'!A:N,4,FALSE))=TRUE,0,(VLOOKUP(A312,'Workings Prior Month'!A:N,4,FALSE)))</f>
        <v>0</v>
      </c>
      <c r="F312" s="29" t="str">
        <f t="shared" si="49"/>
        <v>-</v>
      </c>
      <c r="G312" s="39"/>
      <c r="H312" s="39"/>
      <c r="I312" s="40"/>
      <c r="J312" s="47">
        <f t="shared" si="50"/>
        <v>0</v>
      </c>
      <c r="K312" s="37">
        <f t="shared" si="51"/>
        <v>0</v>
      </c>
      <c r="L312" s="43">
        <f>IF(ISERROR(VLOOKUP(A312,'Workings Prior Month'!A:N,10,FALSE))=TRUE,0,(VLOOKUP(A312,'Workings Prior Month'!A:N,10,FALSE)))</f>
        <v>0</v>
      </c>
      <c r="M312" s="43">
        <f>IF(ISERROR(VLOOKUP(A312,'Workings Prior Month'!A:N,11,FALSE))=TRUE,0,(VLOOKUP(A312,'Workings Prior Month'!A:N,11,FALSE)))</f>
        <v>0</v>
      </c>
      <c r="N312" s="49">
        <f t="shared" si="52"/>
        <v>0</v>
      </c>
      <c r="O312" s="137">
        <f>IF(ISERROR(VLOOKUP(A312,'Cross ref Tab'!A:C,3,FALSE)=TRUE),9500,VLOOKUP(A312,'Cross ref Tab'!A:C,3,FALSE))</f>
        <v>0</v>
      </c>
      <c r="P312" s="137">
        <f>IF(A312="","",COUNTIF('Cross ref Tab'!$A$3:$A$311,A312))</f>
      </c>
      <c r="Q312" s="182">
        <f t="shared" si="53"/>
      </c>
      <c r="R312" s="5">
        <f t="shared" si="54"/>
        <v>0</v>
      </c>
      <c r="S312" s="149">
        <f t="shared" si="55"/>
        <v>0</v>
      </c>
      <c r="T312" s="149">
        <f t="shared" si="56"/>
        <v>0</v>
      </c>
      <c r="U312" s="150">
        <f t="shared" si="57"/>
        <v>0</v>
      </c>
      <c r="V312" s="5" t="e">
        <f>VLOOKUP(A312,#REF!,7,FALSE)-C312</f>
        <v>#REF!</v>
      </c>
      <c r="W312" s="5" t="e">
        <f>SUMIF(#REF!,A312,#REF!)-C312</f>
        <v>#REF!</v>
      </c>
    </row>
    <row r="313" spans="1:23" ht="15" customHeight="1">
      <c r="A313" s="70">
        <f>IF(Download!B303="","",Download!B303)</f>
      </c>
      <c r="B313" s="70">
        <f>IF(Download!C303="","",Download!C303)</f>
      </c>
      <c r="C313" s="45"/>
      <c r="D313" s="42"/>
      <c r="E313" s="252">
        <f>IF(ISERROR(VLOOKUP(A313,'Workings Prior Month'!A:N,4,FALSE))=TRUE,0,(VLOOKUP(A313,'Workings Prior Month'!A:N,4,FALSE)))</f>
        <v>0</v>
      </c>
      <c r="F313" s="29" t="str">
        <f t="shared" si="49"/>
        <v>-</v>
      </c>
      <c r="G313" s="39"/>
      <c r="H313" s="39"/>
      <c r="I313" s="40"/>
      <c r="J313" s="47">
        <f t="shared" si="50"/>
        <v>0</v>
      </c>
      <c r="K313" s="37">
        <f t="shared" si="51"/>
        <v>0</v>
      </c>
      <c r="L313" s="43">
        <f>IF(ISERROR(VLOOKUP(A313,'Workings Prior Month'!A:N,10,FALSE))=TRUE,0,(VLOOKUP(A313,'Workings Prior Month'!A:N,10,FALSE)))</f>
        <v>0</v>
      </c>
      <c r="M313" s="43">
        <f>IF(ISERROR(VLOOKUP(A313,'Workings Prior Month'!A:N,11,FALSE))=TRUE,0,(VLOOKUP(A313,'Workings Prior Month'!A:N,11,FALSE)))</f>
        <v>0</v>
      </c>
      <c r="N313" s="49">
        <f t="shared" si="52"/>
        <v>0</v>
      </c>
      <c r="O313" s="137">
        <f>IF(ISERROR(VLOOKUP(A313,'Cross ref Tab'!A:C,3,FALSE)=TRUE),9500,VLOOKUP(A313,'Cross ref Tab'!A:C,3,FALSE))</f>
        <v>0</v>
      </c>
      <c r="P313" s="137">
        <f>IF(A313="","",COUNTIF('Cross ref Tab'!$A$3:$A$311,A313))</f>
      </c>
      <c r="Q313" s="182">
        <f t="shared" si="53"/>
      </c>
      <c r="R313" s="5">
        <f t="shared" si="54"/>
        <v>0</v>
      </c>
      <c r="S313" s="149">
        <f t="shared" si="55"/>
        <v>0</v>
      </c>
      <c r="T313" s="149">
        <f t="shared" si="56"/>
        <v>0</v>
      </c>
      <c r="U313" s="150">
        <f t="shared" si="57"/>
        <v>0</v>
      </c>
      <c r="V313" s="5" t="e">
        <f>VLOOKUP(A313,#REF!,7,FALSE)-C313</f>
        <v>#REF!</v>
      </c>
      <c r="W313" s="5" t="e">
        <f>SUMIF(#REF!,A313,#REF!)-C313</f>
        <v>#REF!</v>
      </c>
    </row>
    <row r="314" spans="1:23" ht="15" customHeight="1">
      <c r="A314" s="70">
        <f>IF(Download!B304="","",Download!B304)</f>
      </c>
      <c r="B314" s="70">
        <f>IF(Download!C304="","",Download!C304)</f>
      </c>
      <c r="C314" s="45"/>
      <c r="D314" s="42"/>
      <c r="E314" s="252">
        <f>IF(ISERROR(VLOOKUP(A314,'Workings Prior Month'!A:N,4,FALSE))=TRUE,0,(VLOOKUP(A314,'Workings Prior Month'!A:N,4,FALSE)))</f>
        <v>0</v>
      </c>
      <c r="F314" s="29" t="str">
        <f t="shared" si="49"/>
        <v>-</v>
      </c>
      <c r="G314" s="39"/>
      <c r="H314" s="39"/>
      <c r="I314" s="40"/>
      <c r="J314" s="47">
        <f t="shared" si="50"/>
        <v>0</v>
      </c>
      <c r="K314" s="37">
        <f t="shared" si="51"/>
        <v>0</v>
      </c>
      <c r="L314" s="43">
        <f>IF(ISERROR(VLOOKUP(A314,'Workings Prior Month'!A:N,10,FALSE))=TRUE,0,(VLOOKUP(A314,'Workings Prior Month'!A:N,10,FALSE)))</f>
        <v>0</v>
      </c>
      <c r="M314" s="43">
        <f>IF(ISERROR(VLOOKUP(A314,'Workings Prior Month'!A:N,11,FALSE))=TRUE,0,(VLOOKUP(A314,'Workings Prior Month'!A:N,11,FALSE)))</f>
        <v>0</v>
      </c>
      <c r="N314" s="49">
        <f t="shared" si="52"/>
        <v>0</v>
      </c>
      <c r="O314" s="137">
        <f>IF(ISERROR(VLOOKUP(A314,'Cross ref Tab'!A:C,3,FALSE)=TRUE),9500,VLOOKUP(A314,'Cross ref Tab'!A:C,3,FALSE))</f>
        <v>0</v>
      </c>
      <c r="P314" s="137">
        <f>IF(A314="","",COUNTIF('Cross ref Tab'!$A$3:$A$311,A314))</f>
      </c>
      <c r="Q314" s="182">
        <f t="shared" si="53"/>
      </c>
      <c r="R314" s="5">
        <f t="shared" si="54"/>
        <v>0</v>
      </c>
      <c r="S314" s="149">
        <f t="shared" si="55"/>
        <v>0</v>
      </c>
      <c r="T314" s="149">
        <f t="shared" si="56"/>
        <v>0</v>
      </c>
      <c r="U314" s="150">
        <f t="shared" si="57"/>
        <v>0</v>
      </c>
      <c r="V314" s="5" t="e">
        <f>VLOOKUP(A314,#REF!,7,FALSE)-C314</f>
        <v>#REF!</v>
      </c>
      <c r="W314" s="5" t="e">
        <f>SUMIF(#REF!,A314,#REF!)-C314</f>
        <v>#REF!</v>
      </c>
    </row>
    <row r="315" spans="1:23" ht="15" customHeight="1">
      <c r="A315" s="70">
        <f>IF(Download!B305="","",Download!B305)</f>
      </c>
      <c r="B315" s="70">
        <f>IF(Download!C305="","",Download!C305)</f>
      </c>
      <c r="C315" s="45"/>
      <c r="D315" s="42"/>
      <c r="E315" s="252">
        <f>IF(ISERROR(VLOOKUP(A315,'Workings Prior Month'!A:N,4,FALSE))=TRUE,0,(VLOOKUP(A315,'Workings Prior Month'!A:N,4,FALSE)))</f>
        <v>0</v>
      </c>
      <c r="F315" s="29" t="str">
        <f t="shared" si="49"/>
        <v>-</v>
      </c>
      <c r="G315" s="39"/>
      <c r="H315" s="39"/>
      <c r="I315" s="40"/>
      <c r="J315" s="47">
        <f t="shared" si="50"/>
        <v>0</v>
      </c>
      <c r="K315" s="37">
        <f t="shared" si="51"/>
        <v>0</v>
      </c>
      <c r="L315" s="43">
        <f>IF(ISERROR(VLOOKUP(A315,'Workings Prior Month'!A:N,10,FALSE))=TRUE,0,(VLOOKUP(A315,'Workings Prior Month'!A:N,10,FALSE)))</f>
        <v>0</v>
      </c>
      <c r="M315" s="43">
        <f>IF(ISERROR(VLOOKUP(A315,'Workings Prior Month'!A:N,11,FALSE))=TRUE,0,(VLOOKUP(A315,'Workings Prior Month'!A:N,11,FALSE)))</f>
        <v>0</v>
      </c>
      <c r="N315" s="49">
        <f t="shared" si="52"/>
        <v>0</v>
      </c>
      <c r="O315" s="137">
        <f>IF(ISERROR(VLOOKUP(A315,'Cross ref Tab'!A:C,3,FALSE)=TRUE),9500,VLOOKUP(A315,'Cross ref Tab'!A:C,3,FALSE))</f>
        <v>0</v>
      </c>
      <c r="P315" s="137">
        <f>IF(A315="","",COUNTIF('Cross ref Tab'!$A$3:$A$311,A315))</f>
      </c>
      <c r="Q315" s="182">
        <f t="shared" si="53"/>
      </c>
      <c r="R315" s="5">
        <f t="shared" si="54"/>
        <v>0</v>
      </c>
      <c r="S315" s="149">
        <f t="shared" si="55"/>
        <v>0</v>
      </c>
      <c r="T315" s="149">
        <f t="shared" si="56"/>
        <v>0</v>
      </c>
      <c r="U315" s="150">
        <f t="shared" si="57"/>
        <v>0</v>
      </c>
      <c r="V315" s="5" t="e">
        <f>VLOOKUP(A315,#REF!,7,FALSE)-C315</f>
        <v>#REF!</v>
      </c>
      <c r="W315" s="5" t="e">
        <f>SUMIF(#REF!,A315,#REF!)-C315</f>
        <v>#REF!</v>
      </c>
    </row>
    <row r="316" spans="1:23" ht="15" customHeight="1">
      <c r="A316" s="70">
        <f>IF(Download!B306="","",Download!B306)</f>
      </c>
      <c r="B316" s="70">
        <f>IF(Download!C306="","",Download!C306)</f>
      </c>
      <c r="C316" s="45"/>
      <c r="D316" s="42"/>
      <c r="E316" s="252">
        <f>IF(ISERROR(VLOOKUP(A316,'Workings Prior Month'!A:N,4,FALSE))=TRUE,0,(VLOOKUP(A316,'Workings Prior Month'!A:N,4,FALSE)))</f>
        <v>0</v>
      </c>
      <c r="F316" s="29" t="str">
        <f t="shared" si="49"/>
        <v>-</v>
      </c>
      <c r="G316" s="39"/>
      <c r="H316" s="39"/>
      <c r="I316" s="40"/>
      <c r="J316" s="47">
        <f t="shared" si="50"/>
        <v>0</v>
      </c>
      <c r="K316" s="37">
        <f t="shared" si="51"/>
        <v>0</v>
      </c>
      <c r="L316" s="43">
        <f>IF(ISERROR(VLOOKUP(A316,'Workings Prior Month'!A:N,10,FALSE))=TRUE,0,(VLOOKUP(A316,'Workings Prior Month'!A:N,10,FALSE)))</f>
        <v>0</v>
      </c>
      <c r="M316" s="43">
        <f>IF(ISERROR(VLOOKUP(A316,'Workings Prior Month'!A:N,11,FALSE))=TRUE,0,(VLOOKUP(A316,'Workings Prior Month'!A:N,11,FALSE)))</f>
        <v>0</v>
      </c>
      <c r="N316" s="49">
        <f t="shared" si="52"/>
        <v>0</v>
      </c>
      <c r="O316" s="137">
        <f>IF(ISERROR(VLOOKUP(A316,'Cross ref Tab'!A:C,3,FALSE)=TRUE),9500,VLOOKUP(A316,'Cross ref Tab'!A:C,3,FALSE))</f>
        <v>0</v>
      </c>
      <c r="P316" s="137">
        <f>IF(A316="","",COUNTIF('Cross ref Tab'!$A$3:$A$311,A316))</f>
      </c>
      <c r="Q316" s="182">
        <f t="shared" si="53"/>
      </c>
      <c r="R316" s="5">
        <f t="shared" si="54"/>
        <v>0</v>
      </c>
      <c r="S316" s="149">
        <f t="shared" si="55"/>
        <v>0</v>
      </c>
      <c r="T316" s="149">
        <f t="shared" si="56"/>
        <v>0</v>
      </c>
      <c r="U316" s="150">
        <f t="shared" si="57"/>
        <v>0</v>
      </c>
      <c r="V316" s="5" t="e">
        <f>VLOOKUP(A316,#REF!,7,FALSE)-C316</f>
        <v>#REF!</v>
      </c>
      <c r="W316" s="5" t="e">
        <f>SUMIF(#REF!,A316,#REF!)-C316</f>
        <v>#REF!</v>
      </c>
    </row>
    <row r="317" spans="1:23" ht="15" customHeight="1">
      <c r="A317" s="70">
        <f>IF(Download!B307="","",Download!B307)</f>
      </c>
      <c r="B317" s="70">
        <f>IF(Download!C307="","",Download!C307)</f>
      </c>
      <c r="C317" s="45"/>
      <c r="D317" s="42"/>
      <c r="E317" s="252">
        <f>IF(ISERROR(VLOOKUP(A317,'Workings Prior Month'!A:N,4,FALSE))=TRUE,0,(VLOOKUP(A317,'Workings Prior Month'!A:N,4,FALSE)))</f>
        <v>0</v>
      </c>
      <c r="F317" s="29" t="str">
        <f t="shared" si="49"/>
        <v>-</v>
      </c>
      <c r="G317" s="39"/>
      <c r="H317" s="39"/>
      <c r="I317" s="40"/>
      <c r="J317" s="47">
        <f t="shared" si="50"/>
        <v>0</v>
      </c>
      <c r="K317" s="37">
        <f t="shared" si="51"/>
        <v>0</v>
      </c>
      <c r="L317" s="43">
        <f>IF(ISERROR(VLOOKUP(A317,'Workings Prior Month'!A:N,10,FALSE))=TRUE,0,(VLOOKUP(A317,'Workings Prior Month'!A:N,10,FALSE)))</f>
        <v>0</v>
      </c>
      <c r="M317" s="43">
        <f>IF(ISERROR(VLOOKUP(A317,'Workings Prior Month'!A:N,11,FALSE))=TRUE,0,(VLOOKUP(A317,'Workings Prior Month'!A:N,11,FALSE)))</f>
        <v>0</v>
      </c>
      <c r="N317" s="49">
        <f t="shared" si="52"/>
        <v>0</v>
      </c>
      <c r="O317" s="137">
        <f>IF(ISERROR(VLOOKUP(A317,'Cross ref Tab'!A:C,3,FALSE)=TRUE),9500,VLOOKUP(A317,'Cross ref Tab'!A:C,3,FALSE))</f>
        <v>0</v>
      </c>
      <c r="P317" s="137">
        <f>IF(A317="","",COUNTIF('Cross ref Tab'!$A$3:$A$311,A317))</f>
      </c>
      <c r="Q317" s="182">
        <f t="shared" si="53"/>
      </c>
      <c r="R317" s="5">
        <f t="shared" si="54"/>
        <v>0</v>
      </c>
      <c r="S317" s="149">
        <f t="shared" si="55"/>
        <v>0</v>
      </c>
      <c r="T317" s="149">
        <f t="shared" si="56"/>
        <v>0</v>
      </c>
      <c r="U317" s="150">
        <f t="shared" si="57"/>
        <v>0</v>
      </c>
      <c r="V317" s="5" t="e">
        <f>VLOOKUP(A317,#REF!,7,FALSE)-C317</f>
        <v>#REF!</v>
      </c>
      <c r="W317" s="5" t="e">
        <f>SUMIF(#REF!,A317,#REF!)-C317</f>
        <v>#REF!</v>
      </c>
    </row>
    <row r="318" spans="1:23" ht="15" customHeight="1">
      <c r="A318" s="70">
        <f>IF(Download!B308="","",Download!B308)</f>
      </c>
      <c r="B318" s="70">
        <f>IF(Download!C308="","",Download!C308)</f>
      </c>
      <c r="C318" s="45"/>
      <c r="D318" s="42"/>
      <c r="E318" s="252">
        <f>IF(ISERROR(VLOOKUP(A318,'Workings Prior Month'!A:N,4,FALSE))=TRUE,0,(VLOOKUP(A318,'Workings Prior Month'!A:N,4,FALSE)))</f>
        <v>0</v>
      </c>
      <c r="F318" s="29" t="str">
        <f t="shared" si="49"/>
        <v>-</v>
      </c>
      <c r="G318" s="39"/>
      <c r="H318" s="39"/>
      <c r="I318" s="40"/>
      <c r="J318" s="47">
        <f t="shared" si="50"/>
        <v>0</v>
      </c>
      <c r="K318" s="37">
        <f t="shared" si="51"/>
        <v>0</v>
      </c>
      <c r="L318" s="43">
        <f>IF(ISERROR(VLOOKUP(A318,'Workings Prior Month'!A:N,10,FALSE))=TRUE,0,(VLOOKUP(A318,'Workings Prior Month'!A:N,10,FALSE)))</f>
        <v>0</v>
      </c>
      <c r="M318" s="43">
        <f>IF(ISERROR(VLOOKUP(A318,'Workings Prior Month'!A:N,11,FALSE))=TRUE,0,(VLOOKUP(A318,'Workings Prior Month'!A:N,11,FALSE)))</f>
        <v>0</v>
      </c>
      <c r="N318" s="49">
        <f t="shared" si="52"/>
        <v>0</v>
      </c>
      <c r="O318" s="137">
        <f>IF(ISERROR(VLOOKUP(A318,'Cross ref Tab'!A:C,3,FALSE)=TRUE),9500,VLOOKUP(A318,'Cross ref Tab'!A:C,3,FALSE))</f>
        <v>0</v>
      </c>
      <c r="P318" s="137">
        <f>IF(A318="","",COUNTIF('Cross ref Tab'!$A$3:$A$311,A318))</f>
      </c>
      <c r="Q318" s="182">
        <f t="shared" si="53"/>
      </c>
      <c r="R318" s="5">
        <f t="shared" si="54"/>
        <v>0</v>
      </c>
      <c r="S318" s="149">
        <f t="shared" si="55"/>
        <v>0</v>
      </c>
      <c r="T318" s="149">
        <f t="shared" si="56"/>
        <v>0</v>
      </c>
      <c r="U318" s="150">
        <f t="shared" si="57"/>
        <v>0</v>
      </c>
      <c r="V318" s="5" t="e">
        <f>VLOOKUP(A318,#REF!,7,FALSE)-C318</f>
        <v>#REF!</v>
      </c>
      <c r="W318" s="5" t="e">
        <f>SUMIF(#REF!,A318,#REF!)-C318</f>
        <v>#REF!</v>
      </c>
    </row>
    <row r="319" spans="1:23" ht="15" customHeight="1">
      <c r="A319" s="70">
        <f>IF(Download!B309="","",Download!B309)</f>
      </c>
      <c r="B319" s="70">
        <f>IF(Download!C309="","",Download!C309)</f>
      </c>
      <c r="C319" s="45"/>
      <c r="D319" s="42"/>
      <c r="E319" s="252">
        <f>IF(ISERROR(VLOOKUP(A319,'Workings Prior Month'!A:N,4,FALSE))=TRUE,0,(VLOOKUP(A319,'Workings Prior Month'!A:N,4,FALSE)))</f>
        <v>0</v>
      </c>
      <c r="F319" s="29" t="str">
        <f t="shared" si="49"/>
        <v>-</v>
      </c>
      <c r="G319" s="39"/>
      <c r="H319" s="39"/>
      <c r="I319" s="40"/>
      <c r="J319" s="47">
        <f t="shared" si="50"/>
        <v>0</v>
      </c>
      <c r="K319" s="37">
        <f t="shared" si="51"/>
        <v>0</v>
      </c>
      <c r="L319" s="43">
        <f>IF(ISERROR(VLOOKUP(A319,'Workings Prior Month'!A:N,10,FALSE))=TRUE,0,(VLOOKUP(A319,'Workings Prior Month'!A:N,10,FALSE)))</f>
        <v>0</v>
      </c>
      <c r="M319" s="43">
        <f>IF(ISERROR(VLOOKUP(A319,'Workings Prior Month'!A:N,11,FALSE))=TRUE,0,(VLOOKUP(A319,'Workings Prior Month'!A:N,11,FALSE)))</f>
        <v>0</v>
      </c>
      <c r="N319" s="49">
        <f t="shared" si="52"/>
        <v>0</v>
      </c>
      <c r="O319" s="137">
        <f>IF(ISERROR(VLOOKUP(A319,'Cross ref Tab'!A:C,3,FALSE)=TRUE),9500,VLOOKUP(A319,'Cross ref Tab'!A:C,3,FALSE))</f>
        <v>0</v>
      </c>
      <c r="P319" s="137">
        <f>IF(A319="","",COUNTIF('Cross ref Tab'!$A$3:$A$311,A319))</f>
      </c>
      <c r="Q319" s="182">
        <f t="shared" si="53"/>
      </c>
      <c r="R319" s="5">
        <f t="shared" si="54"/>
        <v>0</v>
      </c>
      <c r="S319" s="149">
        <f t="shared" si="55"/>
        <v>0</v>
      </c>
      <c r="T319" s="149">
        <f t="shared" si="56"/>
        <v>0</v>
      </c>
      <c r="U319" s="150">
        <f t="shared" si="57"/>
        <v>0</v>
      </c>
      <c r="V319" s="5" t="e">
        <f>VLOOKUP(A319,#REF!,7,FALSE)-C319</f>
        <v>#REF!</v>
      </c>
      <c r="W319" s="5" t="e">
        <f>SUMIF(#REF!,A319,#REF!)-C319</f>
        <v>#REF!</v>
      </c>
    </row>
    <row r="320" spans="1:23" ht="15" customHeight="1">
      <c r="A320" s="70">
        <f>IF(Download!B310="","",Download!B310)</f>
      </c>
      <c r="B320" s="70">
        <f>IF(Download!C310="","",Download!C310)</f>
      </c>
      <c r="C320" s="45"/>
      <c r="D320" s="42"/>
      <c r="E320" s="252">
        <f>IF(ISERROR(VLOOKUP(A320,'Workings Prior Month'!A:N,4,FALSE))=TRUE,0,(VLOOKUP(A320,'Workings Prior Month'!A:N,4,FALSE)))</f>
        <v>0</v>
      </c>
      <c r="F320" s="29" t="str">
        <f t="shared" si="49"/>
        <v>-</v>
      </c>
      <c r="G320" s="39"/>
      <c r="H320" s="39"/>
      <c r="I320" s="40"/>
      <c r="J320" s="47">
        <f t="shared" si="50"/>
        <v>0</v>
      </c>
      <c r="K320" s="37">
        <f t="shared" si="51"/>
        <v>0</v>
      </c>
      <c r="L320" s="43">
        <f>IF(ISERROR(VLOOKUP(A320,'Workings Prior Month'!A:N,10,FALSE))=TRUE,0,(VLOOKUP(A320,'Workings Prior Month'!A:N,10,FALSE)))</f>
        <v>0</v>
      </c>
      <c r="M320" s="43">
        <f>IF(ISERROR(VLOOKUP(A320,'Workings Prior Month'!A:N,11,FALSE))=TRUE,0,(VLOOKUP(A320,'Workings Prior Month'!A:N,11,FALSE)))</f>
        <v>0</v>
      </c>
      <c r="N320" s="49">
        <f t="shared" si="52"/>
        <v>0</v>
      </c>
      <c r="O320" s="137">
        <f>IF(ISERROR(VLOOKUP(A320,'Cross ref Tab'!A:C,3,FALSE)=TRUE),9500,VLOOKUP(A320,'Cross ref Tab'!A:C,3,FALSE))</f>
        <v>0</v>
      </c>
      <c r="P320" s="137">
        <f>IF(A320="","",COUNTIF('Cross ref Tab'!$A$3:$A$311,A320))</f>
      </c>
      <c r="Q320" s="182">
        <f t="shared" si="53"/>
      </c>
      <c r="R320" s="5">
        <f t="shared" si="54"/>
        <v>0</v>
      </c>
      <c r="S320" s="149">
        <f t="shared" si="55"/>
        <v>0</v>
      </c>
      <c r="T320" s="149">
        <f t="shared" si="56"/>
        <v>0</v>
      </c>
      <c r="U320" s="150">
        <f t="shared" si="57"/>
        <v>0</v>
      </c>
      <c r="V320" s="5" t="e">
        <f>VLOOKUP(A320,#REF!,7,FALSE)-C320</f>
        <v>#REF!</v>
      </c>
      <c r="W320" s="5" t="e">
        <f>SUMIF(#REF!,A320,#REF!)-C320</f>
        <v>#REF!</v>
      </c>
    </row>
    <row r="321" spans="1:23" ht="15" customHeight="1">
      <c r="A321" s="70">
        <f>IF(Download!B311="","",Download!B311)</f>
      </c>
      <c r="B321" s="70">
        <f>IF(Download!C311="","",Download!C311)</f>
      </c>
      <c r="C321" s="45"/>
      <c r="D321" s="42"/>
      <c r="E321" s="252">
        <f>IF(ISERROR(VLOOKUP(A321,'Workings Prior Month'!A:N,4,FALSE))=TRUE,0,(VLOOKUP(A321,'Workings Prior Month'!A:N,4,FALSE)))</f>
        <v>0</v>
      </c>
      <c r="F321" s="29" t="str">
        <f t="shared" si="49"/>
        <v>-</v>
      </c>
      <c r="G321" s="39"/>
      <c r="H321" s="39"/>
      <c r="I321" s="40"/>
      <c r="J321" s="47">
        <f t="shared" si="50"/>
        <v>0</v>
      </c>
      <c r="K321" s="37">
        <f t="shared" si="51"/>
        <v>0</v>
      </c>
      <c r="L321" s="43">
        <f>IF(ISERROR(VLOOKUP(A321,'Workings Prior Month'!A:N,10,FALSE))=TRUE,0,(VLOOKUP(A321,'Workings Prior Month'!A:N,10,FALSE)))</f>
        <v>0</v>
      </c>
      <c r="M321" s="43">
        <f>IF(ISERROR(VLOOKUP(A321,'Workings Prior Month'!A:N,11,FALSE))=TRUE,0,(VLOOKUP(A321,'Workings Prior Month'!A:N,11,FALSE)))</f>
        <v>0</v>
      </c>
      <c r="N321" s="49">
        <f t="shared" si="52"/>
        <v>0</v>
      </c>
      <c r="O321" s="137">
        <f>IF(ISERROR(VLOOKUP(A321,'Cross ref Tab'!A:C,3,FALSE)=TRUE),9500,VLOOKUP(A321,'Cross ref Tab'!A:C,3,FALSE))</f>
        <v>0</v>
      </c>
      <c r="P321" s="137">
        <f>IF(A321="","",COUNTIF('Cross ref Tab'!$A$3:$A$311,A321))</f>
      </c>
      <c r="Q321" s="182">
        <f t="shared" si="53"/>
      </c>
      <c r="R321" s="5">
        <f t="shared" si="54"/>
        <v>0</v>
      </c>
      <c r="S321" s="149">
        <f t="shared" si="55"/>
        <v>0</v>
      </c>
      <c r="T321" s="149">
        <f t="shared" si="56"/>
        <v>0</v>
      </c>
      <c r="U321" s="150">
        <f t="shared" si="57"/>
        <v>0</v>
      </c>
      <c r="V321" s="5" t="e">
        <f>VLOOKUP(A321,#REF!,7,FALSE)-C321</f>
        <v>#REF!</v>
      </c>
      <c r="W321" s="5" t="e">
        <f>SUMIF(#REF!,A321,#REF!)-C321</f>
        <v>#REF!</v>
      </c>
    </row>
    <row r="322" spans="1:23" ht="15" customHeight="1">
      <c r="A322" s="70">
        <f>IF(Download!B312="","",Download!B312)</f>
      </c>
      <c r="B322" s="70">
        <f>IF(Download!C312="","",Download!C312)</f>
      </c>
      <c r="C322" s="45"/>
      <c r="D322" s="42"/>
      <c r="E322" s="252">
        <f>IF(ISERROR(VLOOKUP(A322,'Workings Prior Month'!A:N,4,FALSE))=TRUE,0,(VLOOKUP(A322,'Workings Prior Month'!A:N,4,FALSE)))</f>
        <v>0</v>
      </c>
      <c r="F322" s="29" t="str">
        <f t="shared" si="49"/>
        <v>-</v>
      </c>
      <c r="G322" s="39"/>
      <c r="H322" s="39"/>
      <c r="I322" s="40"/>
      <c r="J322" s="47">
        <f t="shared" si="50"/>
        <v>0</v>
      </c>
      <c r="K322" s="37">
        <f t="shared" si="51"/>
        <v>0</v>
      </c>
      <c r="L322" s="43">
        <f>IF(ISERROR(VLOOKUP(A322,'Workings Prior Month'!A:N,10,FALSE))=TRUE,0,(VLOOKUP(A322,'Workings Prior Month'!A:N,10,FALSE)))</f>
        <v>0</v>
      </c>
      <c r="M322" s="43">
        <f>IF(ISERROR(VLOOKUP(A322,'Workings Prior Month'!A:N,11,FALSE))=TRUE,0,(VLOOKUP(A322,'Workings Prior Month'!A:N,11,FALSE)))</f>
        <v>0</v>
      </c>
      <c r="N322" s="49">
        <f t="shared" si="52"/>
        <v>0</v>
      </c>
      <c r="O322" s="137">
        <f>IF(ISERROR(VLOOKUP(A322,'Cross ref Tab'!A:C,3,FALSE)=TRUE),9500,VLOOKUP(A322,'Cross ref Tab'!A:C,3,FALSE))</f>
        <v>0</v>
      </c>
      <c r="P322" s="137">
        <f>IF(A322="","",COUNTIF('Cross ref Tab'!$A$3:$A$311,A322))</f>
      </c>
      <c r="Q322" s="182">
        <f t="shared" si="53"/>
      </c>
      <c r="R322" s="5">
        <f t="shared" si="54"/>
        <v>0</v>
      </c>
      <c r="S322" s="149">
        <f t="shared" si="55"/>
        <v>0</v>
      </c>
      <c r="T322" s="149">
        <f t="shared" si="56"/>
        <v>0</v>
      </c>
      <c r="U322" s="150">
        <f t="shared" si="57"/>
        <v>0</v>
      </c>
      <c r="V322" s="5" t="e">
        <f>VLOOKUP(A322,#REF!,7,FALSE)-C322</f>
        <v>#REF!</v>
      </c>
      <c r="W322" s="5" t="e">
        <f>SUMIF(#REF!,A322,#REF!)-C322</f>
        <v>#REF!</v>
      </c>
    </row>
    <row r="323" spans="1:23" ht="15" customHeight="1">
      <c r="A323" s="70">
        <f>IF(Download!B313="","",Download!B313)</f>
      </c>
      <c r="B323" s="70">
        <f>IF(Download!C313="","",Download!C313)</f>
      </c>
      <c r="C323" s="45"/>
      <c r="D323" s="42"/>
      <c r="E323" s="252">
        <f>IF(ISERROR(VLOOKUP(A323,'Workings Prior Month'!A:N,4,FALSE))=TRUE,0,(VLOOKUP(A323,'Workings Prior Month'!A:N,4,FALSE)))</f>
        <v>0</v>
      </c>
      <c r="F323" s="29" t="str">
        <f t="shared" si="49"/>
        <v>-</v>
      </c>
      <c r="G323" s="39"/>
      <c r="H323" s="39"/>
      <c r="I323" s="40"/>
      <c r="J323" s="47">
        <f t="shared" si="50"/>
        <v>0</v>
      </c>
      <c r="K323" s="37">
        <f t="shared" si="51"/>
        <v>0</v>
      </c>
      <c r="L323" s="43">
        <f>IF(ISERROR(VLOOKUP(A323,'Workings Prior Month'!A:N,10,FALSE))=TRUE,0,(VLOOKUP(A323,'Workings Prior Month'!A:N,10,FALSE)))</f>
        <v>0</v>
      </c>
      <c r="M323" s="43">
        <f>IF(ISERROR(VLOOKUP(A323,'Workings Prior Month'!A:N,11,FALSE))=TRUE,0,(VLOOKUP(A323,'Workings Prior Month'!A:N,11,FALSE)))</f>
        <v>0</v>
      </c>
      <c r="N323" s="49">
        <f t="shared" si="52"/>
        <v>0</v>
      </c>
      <c r="O323" s="137">
        <f>IF(ISERROR(VLOOKUP(A323,'Cross ref Tab'!A:C,3,FALSE)=TRUE),9500,VLOOKUP(A323,'Cross ref Tab'!A:C,3,FALSE))</f>
        <v>0</v>
      </c>
      <c r="P323" s="137">
        <f>IF(A323="","",COUNTIF('Cross ref Tab'!$A$3:$A$311,A323))</f>
      </c>
      <c r="Q323" s="182">
        <f t="shared" si="53"/>
      </c>
      <c r="R323" s="5">
        <f t="shared" si="54"/>
        <v>0</v>
      </c>
      <c r="S323" s="149">
        <f t="shared" si="55"/>
        <v>0</v>
      </c>
      <c r="T323" s="149">
        <f t="shared" si="56"/>
        <v>0</v>
      </c>
      <c r="U323" s="150">
        <f t="shared" si="57"/>
        <v>0</v>
      </c>
      <c r="V323" s="5" t="e">
        <f>VLOOKUP(A323,#REF!,7,FALSE)-C323</f>
        <v>#REF!</v>
      </c>
      <c r="W323" s="5" t="e">
        <f>SUMIF(#REF!,A323,#REF!)-C323</f>
        <v>#REF!</v>
      </c>
    </row>
    <row r="324" spans="1:23" ht="15" customHeight="1">
      <c r="A324" s="70">
        <f>IF(Download!B314="","",Download!B314)</f>
      </c>
      <c r="B324" s="70">
        <f>IF(Download!C314="","",Download!C314)</f>
      </c>
      <c r="C324" s="45"/>
      <c r="D324" s="42"/>
      <c r="E324" s="252">
        <f>IF(ISERROR(VLOOKUP(A324,'Workings Prior Month'!A:N,4,FALSE))=TRUE,0,(VLOOKUP(A324,'Workings Prior Month'!A:N,4,FALSE)))</f>
        <v>0</v>
      </c>
      <c r="F324" s="29" t="str">
        <f t="shared" si="49"/>
        <v>-</v>
      </c>
      <c r="G324" s="39"/>
      <c r="H324" s="39"/>
      <c r="I324" s="40"/>
      <c r="J324" s="47">
        <f t="shared" si="50"/>
        <v>0</v>
      </c>
      <c r="K324" s="37">
        <f t="shared" si="51"/>
        <v>0</v>
      </c>
      <c r="L324" s="43">
        <f>IF(ISERROR(VLOOKUP(A324,'Workings Prior Month'!A:N,10,FALSE))=TRUE,0,(VLOOKUP(A324,'Workings Prior Month'!A:N,10,FALSE)))</f>
        <v>0</v>
      </c>
      <c r="M324" s="43">
        <f>IF(ISERROR(VLOOKUP(A324,'Workings Prior Month'!A:N,11,FALSE))=TRUE,0,(VLOOKUP(A324,'Workings Prior Month'!A:N,11,FALSE)))</f>
        <v>0</v>
      </c>
      <c r="N324" s="49">
        <f t="shared" si="52"/>
        <v>0</v>
      </c>
      <c r="O324" s="137">
        <f>IF(ISERROR(VLOOKUP(A324,'Cross ref Tab'!A:C,3,FALSE)=TRUE),9500,VLOOKUP(A324,'Cross ref Tab'!A:C,3,FALSE))</f>
        <v>0</v>
      </c>
      <c r="P324" s="137">
        <f>IF(A324="","",COUNTIF('Cross ref Tab'!$A$3:$A$311,A324))</f>
      </c>
      <c r="Q324" s="182">
        <f t="shared" si="53"/>
      </c>
      <c r="R324" s="5">
        <f t="shared" si="54"/>
        <v>0</v>
      </c>
      <c r="S324" s="149">
        <f t="shared" si="55"/>
        <v>0</v>
      </c>
      <c r="T324" s="149">
        <f t="shared" si="56"/>
        <v>0</v>
      </c>
      <c r="U324" s="150">
        <f t="shared" si="57"/>
        <v>0</v>
      </c>
      <c r="V324" s="5" t="e">
        <f>VLOOKUP(A324,#REF!,7,FALSE)-C324</f>
        <v>#REF!</v>
      </c>
      <c r="W324" s="5" t="e">
        <f>SUMIF(#REF!,A324,#REF!)-C324</f>
        <v>#REF!</v>
      </c>
    </row>
    <row r="325" spans="1:23" ht="15" customHeight="1">
      <c r="A325" s="70">
        <f>IF(Download!B315="","",Download!B315)</f>
      </c>
      <c r="B325" s="70">
        <f>IF(Download!C315="","",Download!C315)</f>
      </c>
      <c r="C325" s="45"/>
      <c r="D325" s="42"/>
      <c r="E325" s="252">
        <f>IF(ISERROR(VLOOKUP(A325,'Workings Prior Month'!A:N,4,FALSE))=TRUE,0,(VLOOKUP(A325,'Workings Prior Month'!A:N,4,FALSE)))</f>
        <v>0</v>
      </c>
      <c r="F325" s="29" t="str">
        <f t="shared" si="49"/>
        <v>-</v>
      </c>
      <c r="G325" s="39"/>
      <c r="H325" s="39"/>
      <c r="I325" s="40"/>
      <c r="J325" s="47">
        <f t="shared" si="50"/>
        <v>0</v>
      </c>
      <c r="K325" s="37">
        <f t="shared" si="51"/>
        <v>0</v>
      </c>
      <c r="L325" s="43">
        <f>IF(ISERROR(VLOOKUP(A325,'Workings Prior Month'!A:N,10,FALSE))=TRUE,0,(VLOOKUP(A325,'Workings Prior Month'!A:N,10,FALSE)))</f>
        <v>0</v>
      </c>
      <c r="M325" s="43">
        <f>IF(ISERROR(VLOOKUP(A325,'Workings Prior Month'!A:N,11,FALSE))=TRUE,0,(VLOOKUP(A325,'Workings Prior Month'!A:N,11,FALSE)))</f>
        <v>0</v>
      </c>
      <c r="N325" s="49">
        <f t="shared" si="52"/>
        <v>0</v>
      </c>
      <c r="O325" s="137">
        <f>IF(ISERROR(VLOOKUP(A325,'Cross ref Tab'!A:C,3,FALSE)=TRUE),9500,VLOOKUP(A325,'Cross ref Tab'!A:C,3,FALSE))</f>
        <v>0</v>
      </c>
      <c r="P325" s="137">
        <f>IF(A325="","",COUNTIF('Cross ref Tab'!$A$3:$A$311,A325))</f>
      </c>
      <c r="Q325" s="182">
        <f t="shared" si="53"/>
      </c>
      <c r="R325" s="5">
        <f t="shared" si="54"/>
        <v>0</v>
      </c>
      <c r="S325" s="149">
        <f t="shared" si="55"/>
        <v>0</v>
      </c>
      <c r="T325" s="149">
        <f t="shared" si="56"/>
        <v>0</v>
      </c>
      <c r="U325" s="150">
        <f t="shared" si="57"/>
        <v>0</v>
      </c>
      <c r="V325" s="5" t="e">
        <f>VLOOKUP(A325,#REF!,7,FALSE)-C325</f>
        <v>#REF!</v>
      </c>
      <c r="W325" s="5" t="e">
        <f>SUMIF(#REF!,A325,#REF!)-C325</f>
        <v>#REF!</v>
      </c>
    </row>
    <row r="326" spans="1:23" ht="15" customHeight="1">
      <c r="A326" s="70">
        <f>IF(Download!B316="","",Download!B316)</f>
      </c>
      <c r="B326" s="70">
        <f>IF(Download!C316="","",Download!C316)</f>
      </c>
      <c r="C326" s="45"/>
      <c r="D326" s="42"/>
      <c r="E326" s="252">
        <f>IF(ISERROR(VLOOKUP(A326,'Workings Prior Month'!A:N,4,FALSE))=TRUE,0,(VLOOKUP(A326,'Workings Prior Month'!A:N,4,FALSE)))</f>
        <v>0</v>
      </c>
      <c r="F326" s="29" t="str">
        <f t="shared" si="49"/>
        <v>-</v>
      </c>
      <c r="G326" s="39"/>
      <c r="H326" s="39"/>
      <c r="I326" s="40"/>
      <c r="J326" s="47">
        <f t="shared" si="50"/>
        <v>0</v>
      </c>
      <c r="K326" s="37">
        <f t="shared" si="51"/>
        <v>0</v>
      </c>
      <c r="L326" s="43">
        <f>IF(ISERROR(VLOOKUP(A326,'Workings Prior Month'!A:N,10,FALSE))=TRUE,0,(VLOOKUP(A326,'Workings Prior Month'!A:N,10,FALSE)))</f>
        <v>0</v>
      </c>
      <c r="M326" s="43">
        <f>IF(ISERROR(VLOOKUP(A326,'Workings Prior Month'!A:N,11,FALSE))=TRUE,0,(VLOOKUP(A326,'Workings Prior Month'!A:N,11,FALSE)))</f>
        <v>0</v>
      </c>
      <c r="N326" s="49">
        <f t="shared" si="52"/>
        <v>0</v>
      </c>
      <c r="O326" s="137">
        <f>IF(ISERROR(VLOOKUP(A326,'Cross ref Tab'!A:C,3,FALSE)=TRUE),9500,VLOOKUP(A326,'Cross ref Tab'!A:C,3,FALSE))</f>
        <v>0</v>
      </c>
      <c r="P326" s="137">
        <f>IF(A326="","",COUNTIF('Cross ref Tab'!$A$3:$A$311,A326))</f>
      </c>
      <c r="Q326" s="182">
        <f t="shared" si="53"/>
      </c>
      <c r="R326" s="5">
        <f t="shared" si="54"/>
        <v>0</v>
      </c>
      <c r="S326" s="149">
        <f t="shared" si="55"/>
        <v>0</v>
      </c>
      <c r="T326" s="149">
        <f t="shared" si="56"/>
        <v>0</v>
      </c>
      <c r="U326" s="150">
        <f t="shared" si="57"/>
        <v>0</v>
      </c>
      <c r="V326" s="5" t="e">
        <f>VLOOKUP(A326,#REF!,7,FALSE)-C326</f>
        <v>#REF!</v>
      </c>
      <c r="W326" s="5" t="e">
        <f>SUMIF(#REF!,A326,#REF!)-C326</f>
        <v>#REF!</v>
      </c>
    </row>
    <row r="327" spans="1:23" ht="15" customHeight="1">
      <c r="A327" s="70">
        <f>IF(Download!B317="","",Download!B317)</f>
      </c>
      <c r="B327" s="70">
        <f>IF(Download!C317="","",Download!C317)</f>
      </c>
      <c r="C327" s="45"/>
      <c r="D327" s="42"/>
      <c r="E327" s="252">
        <f>IF(ISERROR(VLOOKUP(A327,'Workings Prior Month'!A:N,4,FALSE))=TRUE,0,(VLOOKUP(A327,'Workings Prior Month'!A:N,4,FALSE)))</f>
        <v>0</v>
      </c>
      <c r="F327" s="29" t="str">
        <f t="shared" si="49"/>
        <v>-</v>
      </c>
      <c r="G327" s="39"/>
      <c r="H327" s="39"/>
      <c r="I327" s="40"/>
      <c r="J327" s="47">
        <f t="shared" si="50"/>
        <v>0</v>
      </c>
      <c r="K327" s="37">
        <f t="shared" si="51"/>
        <v>0</v>
      </c>
      <c r="L327" s="43">
        <f>IF(ISERROR(VLOOKUP(A327,'Workings Prior Month'!A:N,10,FALSE))=TRUE,0,(VLOOKUP(A327,'Workings Prior Month'!A:N,10,FALSE)))</f>
        <v>0</v>
      </c>
      <c r="M327" s="43">
        <f>IF(ISERROR(VLOOKUP(A327,'Workings Prior Month'!A:N,11,FALSE))=TRUE,0,(VLOOKUP(A327,'Workings Prior Month'!A:N,11,FALSE)))</f>
        <v>0</v>
      </c>
      <c r="N327" s="49">
        <f t="shared" si="52"/>
        <v>0</v>
      </c>
      <c r="O327" s="137">
        <f>IF(ISERROR(VLOOKUP(A327,'Cross ref Tab'!A:C,3,FALSE)=TRUE),9500,VLOOKUP(A327,'Cross ref Tab'!A:C,3,FALSE))</f>
        <v>0</v>
      </c>
      <c r="P327" s="137">
        <f>IF(A327="","",COUNTIF('Cross ref Tab'!$A$3:$A$311,A327))</f>
      </c>
      <c r="Q327" s="182">
        <f t="shared" si="53"/>
      </c>
      <c r="R327" s="5">
        <f t="shared" si="54"/>
        <v>0</v>
      </c>
      <c r="S327" s="149">
        <f t="shared" si="55"/>
        <v>0</v>
      </c>
      <c r="T327" s="149">
        <f t="shared" si="56"/>
        <v>0</v>
      </c>
      <c r="U327" s="150">
        <f t="shared" si="57"/>
        <v>0</v>
      </c>
      <c r="V327" s="5" t="e">
        <f>VLOOKUP(A327,#REF!,7,FALSE)-C327</f>
        <v>#REF!</v>
      </c>
      <c r="W327" s="5" t="e">
        <f>SUMIF(#REF!,A327,#REF!)-C327</f>
        <v>#REF!</v>
      </c>
    </row>
    <row r="328" spans="1:23" ht="15" customHeight="1">
      <c r="A328" s="70">
        <f>IF(Download!B318="","",Download!B318)</f>
      </c>
      <c r="B328" s="70">
        <f>IF(Download!C318="","",Download!C318)</f>
      </c>
      <c r="C328" s="45"/>
      <c r="D328" s="42"/>
      <c r="E328" s="252">
        <f>IF(ISERROR(VLOOKUP(A328,'Workings Prior Month'!A:N,4,FALSE))=TRUE,0,(VLOOKUP(A328,'Workings Prior Month'!A:N,4,FALSE)))</f>
        <v>0</v>
      </c>
      <c r="F328" s="29" t="str">
        <f t="shared" si="49"/>
        <v>-</v>
      </c>
      <c r="G328" s="39"/>
      <c r="H328" s="39"/>
      <c r="I328" s="40"/>
      <c r="J328" s="47">
        <f t="shared" si="50"/>
        <v>0</v>
      </c>
      <c r="K328" s="37">
        <f t="shared" si="51"/>
        <v>0</v>
      </c>
      <c r="L328" s="43">
        <f>IF(ISERROR(VLOOKUP(A328,'Workings Prior Month'!A:N,10,FALSE))=TRUE,0,(VLOOKUP(A328,'Workings Prior Month'!A:N,10,FALSE)))</f>
        <v>0</v>
      </c>
      <c r="M328" s="43">
        <f>IF(ISERROR(VLOOKUP(A328,'Workings Prior Month'!A:N,11,FALSE))=TRUE,0,(VLOOKUP(A328,'Workings Prior Month'!A:N,11,FALSE)))</f>
        <v>0</v>
      </c>
      <c r="N328" s="49">
        <f t="shared" si="52"/>
        <v>0</v>
      </c>
      <c r="O328" s="137">
        <f>IF(ISERROR(VLOOKUP(A328,'Cross ref Tab'!A:C,3,FALSE)=TRUE),9500,VLOOKUP(A328,'Cross ref Tab'!A:C,3,FALSE))</f>
        <v>0</v>
      </c>
      <c r="P328" s="137">
        <f>IF(A328="","",COUNTIF('Cross ref Tab'!$A$3:$A$311,A328))</f>
      </c>
      <c r="Q328" s="182">
        <f t="shared" si="53"/>
      </c>
      <c r="R328" s="5">
        <f t="shared" si="54"/>
        <v>0</v>
      </c>
      <c r="S328" s="149">
        <f t="shared" si="55"/>
        <v>0</v>
      </c>
      <c r="T328" s="149">
        <f t="shared" si="56"/>
        <v>0</v>
      </c>
      <c r="U328" s="150">
        <f t="shared" si="57"/>
        <v>0</v>
      </c>
      <c r="V328" s="5" t="e">
        <f>VLOOKUP(A328,#REF!,7,FALSE)-C328</f>
        <v>#REF!</v>
      </c>
      <c r="W328" s="5" t="e">
        <f>SUMIF(#REF!,A328,#REF!)-C328</f>
        <v>#REF!</v>
      </c>
    </row>
    <row r="329" spans="1:23" ht="15" customHeight="1">
      <c r="A329" s="70">
        <f>IF(Download!B319="","",Download!B319)</f>
      </c>
      <c r="B329" s="70">
        <f>IF(Download!C319="","",Download!C319)</f>
      </c>
      <c r="C329" s="45"/>
      <c r="D329" s="42"/>
      <c r="E329" s="252">
        <f>IF(ISERROR(VLOOKUP(A329,'Workings Prior Month'!A:N,4,FALSE))=TRUE,0,(VLOOKUP(A329,'Workings Prior Month'!A:N,4,FALSE)))</f>
        <v>0</v>
      </c>
      <c r="F329" s="29" t="str">
        <f t="shared" si="49"/>
        <v>-</v>
      </c>
      <c r="G329" s="39"/>
      <c r="H329" s="39"/>
      <c r="I329" s="40"/>
      <c r="J329" s="47">
        <f t="shared" si="50"/>
        <v>0</v>
      </c>
      <c r="K329" s="37">
        <f t="shared" si="51"/>
        <v>0</v>
      </c>
      <c r="L329" s="43">
        <f>IF(ISERROR(VLOOKUP(A329,'Workings Prior Month'!A:N,10,FALSE))=TRUE,0,(VLOOKUP(A329,'Workings Prior Month'!A:N,10,FALSE)))</f>
        <v>0</v>
      </c>
      <c r="M329" s="43">
        <f>IF(ISERROR(VLOOKUP(A329,'Workings Prior Month'!A:N,11,FALSE))=TRUE,0,(VLOOKUP(A329,'Workings Prior Month'!A:N,11,FALSE)))</f>
        <v>0</v>
      </c>
      <c r="N329" s="49">
        <f t="shared" si="52"/>
        <v>0</v>
      </c>
      <c r="O329" s="137">
        <f>IF(ISERROR(VLOOKUP(A329,'Cross ref Tab'!A:C,3,FALSE)=TRUE),9500,VLOOKUP(A329,'Cross ref Tab'!A:C,3,FALSE))</f>
        <v>0</v>
      </c>
      <c r="P329" s="137">
        <f>IF(A329="","",COUNTIF('Cross ref Tab'!$A$3:$A$311,A329))</f>
      </c>
      <c r="Q329" s="182">
        <f t="shared" si="53"/>
      </c>
      <c r="R329" s="5">
        <f t="shared" si="54"/>
        <v>0</v>
      </c>
      <c r="S329" s="149">
        <f t="shared" si="55"/>
        <v>0</v>
      </c>
      <c r="T329" s="149">
        <f t="shared" si="56"/>
        <v>0</v>
      </c>
      <c r="U329" s="150">
        <f t="shared" si="57"/>
        <v>0</v>
      </c>
      <c r="V329" s="5" t="e">
        <f>VLOOKUP(A329,#REF!,7,FALSE)-C329</f>
        <v>#REF!</v>
      </c>
      <c r="W329" s="5" t="e">
        <f>SUMIF(#REF!,A329,#REF!)-C329</f>
        <v>#REF!</v>
      </c>
    </row>
    <row r="330" spans="1:23" ht="15" customHeight="1">
      <c r="A330" s="70">
        <f>IF(Download!B320="","",Download!B320)</f>
      </c>
      <c r="B330" s="70">
        <f>IF(Download!C320="","",Download!C320)</f>
      </c>
      <c r="C330" s="45"/>
      <c r="D330" s="42"/>
      <c r="E330" s="252">
        <f>IF(ISERROR(VLOOKUP(A330,'Workings Prior Month'!A:N,4,FALSE))=TRUE,0,(VLOOKUP(A330,'Workings Prior Month'!A:N,4,FALSE)))</f>
        <v>0</v>
      </c>
      <c r="F330" s="29" t="str">
        <f t="shared" si="49"/>
        <v>-</v>
      </c>
      <c r="G330" s="39"/>
      <c r="H330" s="39"/>
      <c r="I330" s="40"/>
      <c r="J330" s="47">
        <f t="shared" si="50"/>
        <v>0</v>
      </c>
      <c r="K330" s="37">
        <f t="shared" si="51"/>
        <v>0</v>
      </c>
      <c r="L330" s="43">
        <f>IF(ISERROR(VLOOKUP(A330,'Workings Prior Month'!A:N,10,FALSE))=TRUE,0,(VLOOKUP(A330,'Workings Prior Month'!A:N,10,FALSE)))</f>
        <v>0</v>
      </c>
      <c r="M330" s="43">
        <f>IF(ISERROR(VLOOKUP(A330,'Workings Prior Month'!A:N,11,FALSE))=TRUE,0,(VLOOKUP(A330,'Workings Prior Month'!A:N,11,FALSE)))</f>
        <v>0</v>
      </c>
      <c r="N330" s="49">
        <f t="shared" si="52"/>
        <v>0</v>
      </c>
      <c r="O330" s="137">
        <f>IF(ISERROR(VLOOKUP(A330,'Cross ref Tab'!A:C,3,FALSE)=TRUE),9500,VLOOKUP(A330,'Cross ref Tab'!A:C,3,FALSE))</f>
        <v>0</v>
      </c>
      <c r="P330" s="137">
        <f>IF(A330="","",COUNTIF('Cross ref Tab'!$A$3:$A$311,A330))</f>
      </c>
      <c r="Q330" s="182">
        <f t="shared" si="53"/>
      </c>
      <c r="R330" s="5">
        <f t="shared" si="54"/>
        <v>0</v>
      </c>
      <c r="S330" s="149">
        <f t="shared" si="55"/>
        <v>0</v>
      </c>
      <c r="T330" s="149">
        <f t="shared" si="56"/>
        <v>0</v>
      </c>
      <c r="U330" s="150">
        <f t="shared" si="57"/>
        <v>0</v>
      </c>
      <c r="V330" s="5" t="e">
        <f>VLOOKUP(A330,#REF!,7,FALSE)-C330</f>
        <v>#REF!</v>
      </c>
      <c r="W330" s="5" t="e">
        <f>SUMIF(#REF!,A330,#REF!)-C330</f>
        <v>#REF!</v>
      </c>
    </row>
    <row r="331" spans="1:23" ht="15" customHeight="1">
      <c r="A331" s="70">
        <f>IF(Download!B321="","",Download!B321)</f>
      </c>
      <c r="B331" s="70">
        <f>IF(Download!C321="","",Download!C321)</f>
      </c>
      <c r="C331" s="45"/>
      <c r="D331" s="42"/>
      <c r="E331" s="252">
        <f>IF(ISERROR(VLOOKUP(A331,'Workings Prior Month'!A:N,4,FALSE))=TRUE,0,(VLOOKUP(A331,'Workings Prior Month'!A:N,4,FALSE)))</f>
        <v>0</v>
      </c>
      <c r="F331" s="29" t="str">
        <f t="shared" si="49"/>
        <v>-</v>
      </c>
      <c r="G331" s="39"/>
      <c r="H331" s="39"/>
      <c r="I331" s="40"/>
      <c r="J331" s="47">
        <f t="shared" si="50"/>
        <v>0</v>
      </c>
      <c r="K331" s="37">
        <f t="shared" si="51"/>
        <v>0</v>
      </c>
      <c r="L331" s="43">
        <f>IF(ISERROR(VLOOKUP(A331,'Workings Prior Month'!A:N,10,FALSE))=TRUE,0,(VLOOKUP(A331,'Workings Prior Month'!A:N,10,FALSE)))</f>
        <v>0</v>
      </c>
      <c r="M331" s="43">
        <f>IF(ISERROR(VLOOKUP(A331,'Workings Prior Month'!A:N,11,FALSE))=TRUE,0,(VLOOKUP(A331,'Workings Prior Month'!A:N,11,FALSE)))</f>
        <v>0</v>
      </c>
      <c r="N331" s="49">
        <f t="shared" si="52"/>
        <v>0</v>
      </c>
      <c r="O331" s="137">
        <f>IF(ISERROR(VLOOKUP(A331,'Cross ref Tab'!A:C,3,FALSE)=TRUE),9500,VLOOKUP(A331,'Cross ref Tab'!A:C,3,FALSE))</f>
        <v>0</v>
      </c>
      <c r="P331" s="137">
        <f>IF(A331="","",COUNTIF('Cross ref Tab'!$A$3:$A$311,A331))</f>
      </c>
      <c r="Q331" s="182">
        <f t="shared" si="53"/>
      </c>
      <c r="R331" s="5">
        <f t="shared" si="54"/>
        <v>0</v>
      </c>
      <c r="S331" s="149">
        <f t="shared" si="55"/>
        <v>0</v>
      </c>
      <c r="T331" s="149">
        <f t="shared" si="56"/>
        <v>0</v>
      </c>
      <c r="U331" s="150">
        <f t="shared" si="57"/>
        <v>0</v>
      </c>
      <c r="V331" s="5" t="e">
        <f>VLOOKUP(A331,#REF!,7,FALSE)-C331</f>
        <v>#REF!</v>
      </c>
      <c r="W331" s="5" t="e">
        <f>SUMIF(#REF!,A331,#REF!)-C331</f>
        <v>#REF!</v>
      </c>
    </row>
    <row r="332" spans="1:23" ht="15" customHeight="1">
      <c r="A332" s="70">
        <f>IF(Download!B322="","",Download!B322)</f>
      </c>
      <c r="B332" s="70">
        <f>IF(Download!C322="","",Download!C322)</f>
      </c>
      <c r="C332" s="45"/>
      <c r="D332" s="42"/>
      <c r="E332" s="252">
        <f>IF(ISERROR(VLOOKUP(A332,'Workings Prior Month'!A:N,4,FALSE))=TRUE,0,(VLOOKUP(A332,'Workings Prior Month'!A:N,4,FALSE)))</f>
        <v>0</v>
      </c>
      <c r="F332" s="29" t="str">
        <f t="shared" si="49"/>
        <v>-</v>
      </c>
      <c r="G332" s="39"/>
      <c r="H332" s="39"/>
      <c r="I332" s="40"/>
      <c r="J332" s="47">
        <f t="shared" si="50"/>
        <v>0</v>
      </c>
      <c r="K332" s="37">
        <f t="shared" si="51"/>
        <v>0</v>
      </c>
      <c r="L332" s="43">
        <f>IF(ISERROR(VLOOKUP(A332,'Workings Prior Month'!A:N,10,FALSE))=TRUE,0,(VLOOKUP(A332,'Workings Prior Month'!A:N,10,FALSE)))</f>
        <v>0</v>
      </c>
      <c r="M332" s="43">
        <f>IF(ISERROR(VLOOKUP(A332,'Workings Prior Month'!A:N,11,FALSE))=TRUE,0,(VLOOKUP(A332,'Workings Prior Month'!A:N,11,FALSE)))</f>
        <v>0</v>
      </c>
      <c r="N332" s="49">
        <f t="shared" si="52"/>
        <v>0</v>
      </c>
      <c r="O332" s="137">
        <f>IF(ISERROR(VLOOKUP(A332,'Cross ref Tab'!A:C,3,FALSE)=TRUE),9500,VLOOKUP(A332,'Cross ref Tab'!A:C,3,FALSE))</f>
        <v>0</v>
      </c>
      <c r="P332" s="137">
        <f>IF(A332="","",COUNTIF('Cross ref Tab'!$A$3:$A$311,A332))</f>
      </c>
      <c r="Q332" s="182">
        <f t="shared" si="53"/>
      </c>
      <c r="R332" s="5">
        <f t="shared" si="54"/>
        <v>0</v>
      </c>
      <c r="S332" s="149">
        <f t="shared" si="55"/>
        <v>0</v>
      </c>
      <c r="T332" s="149">
        <f t="shared" si="56"/>
        <v>0</v>
      </c>
      <c r="U332" s="150">
        <f t="shared" si="57"/>
        <v>0</v>
      </c>
      <c r="V332" s="5" t="e">
        <f>VLOOKUP(A332,#REF!,7,FALSE)-C332</f>
        <v>#REF!</v>
      </c>
      <c r="W332" s="5" t="e">
        <f>SUMIF(#REF!,A332,#REF!)-C332</f>
        <v>#REF!</v>
      </c>
    </row>
    <row r="333" spans="1:23" ht="15" customHeight="1">
      <c r="A333" s="70">
        <f>IF(Download!B323="","",Download!B323)</f>
      </c>
      <c r="B333" s="70">
        <f>IF(Download!C323="","",Download!C323)</f>
      </c>
      <c r="C333" s="45"/>
      <c r="D333" s="42"/>
      <c r="E333" s="252">
        <f>IF(ISERROR(VLOOKUP(A333,'Workings Prior Month'!A:N,4,FALSE))=TRUE,0,(VLOOKUP(A333,'Workings Prior Month'!A:N,4,FALSE)))</f>
        <v>0</v>
      </c>
      <c r="F333" s="29" t="str">
        <f t="shared" si="49"/>
        <v>-</v>
      </c>
      <c r="G333" s="39"/>
      <c r="H333" s="39"/>
      <c r="I333" s="40"/>
      <c r="J333" s="47">
        <f t="shared" si="50"/>
        <v>0</v>
      </c>
      <c r="K333" s="37">
        <f t="shared" si="51"/>
        <v>0</v>
      </c>
      <c r="L333" s="43">
        <f>IF(ISERROR(VLOOKUP(A333,'Workings Prior Month'!A:N,10,FALSE))=TRUE,0,(VLOOKUP(A333,'Workings Prior Month'!A:N,10,FALSE)))</f>
        <v>0</v>
      </c>
      <c r="M333" s="43">
        <f>IF(ISERROR(VLOOKUP(A333,'Workings Prior Month'!A:N,11,FALSE))=TRUE,0,(VLOOKUP(A333,'Workings Prior Month'!A:N,11,FALSE)))</f>
        <v>0</v>
      </c>
      <c r="N333" s="49">
        <f t="shared" si="52"/>
        <v>0</v>
      </c>
      <c r="O333" s="137">
        <f>IF(ISERROR(VLOOKUP(A333,'Cross ref Tab'!A:C,3,FALSE)=TRUE),9500,VLOOKUP(A333,'Cross ref Tab'!A:C,3,FALSE))</f>
        <v>0</v>
      </c>
      <c r="P333" s="137">
        <f>IF(A333="","",COUNTIF('Cross ref Tab'!$A$3:$A$311,A333))</f>
      </c>
      <c r="Q333" s="182">
        <f t="shared" si="53"/>
      </c>
      <c r="R333" s="5">
        <f t="shared" si="54"/>
        <v>0</v>
      </c>
      <c r="S333" s="149">
        <f t="shared" si="55"/>
        <v>0</v>
      </c>
      <c r="T333" s="149">
        <f t="shared" si="56"/>
        <v>0</v>
      </c>
      <c r="U333" s="150">
        <f t="shared" si="57"/>
        <v>0</v>
      </c>
      <c r="V333" s="5" t="e">
        <f>VLOOKUP(A333,#REF!,7,FALSE)-C333</f>
        <v>#REF!</v>
      </c>
      <c r="W333" s="5" t="e">
        <f>SUMIF(#REF!,A333,#REF!)-C333</f>
        <v>#REF!</v>
      </c>
    </row>
    <row r="334" spans="1:23" ht="15" customHeight="1">
      <c r="A334" s="70">
        <f>IF(Download!B324="","",Download!B324)</f>
      </c>
      <c r="B334" s="70">
        <f>IF(Download!C324="","",Download!C324)</f>
      </c>
      <c r="C334" s="45"/>
      <c r="D334" s="42"/>
      <c r="E334" s="252">
        <f>IF(ISERROR(VLOOKUP(A334,'Workings Prior Month'!A:N,4,FALSE))=TRUE,0,(VLOOKUP(A334,'Workings Prior Month'!A:N,4,FALSE)))</f>
        <v>0</v>
      </c>
      <c r="F334" s="29" t="str">
        <f t="shared" si="49"/>
        <v>-</v>
      </c>
      <c r="G334" s="39"/>
      <c r="H334" s="39"/>
      <c r="I334" s="40"/>
      <c r="J334" s="47">
        <f t="shared" si="50"/>
        <v>0</v>
      </c>
      <c r="K334" s="37">
        <f t="shared" si="51"/>
        <v>0</v>
      </c>
      <c r="L334" s="43">
        <f>IF(ISERROR(VLOOKUP(A334,'Workings Prior Month'!A:N,10,FALSE))=TRUE,0,(VLOOKUP(A334,'Workings Prior Month'!A:N,10,FALSE)))</f>
        <v>0</v>
      </c>
      <c r="M334" s="43">
        <f>IF(ISERROR(VLOOKUP(A334,'Workings Prior Month'!A:N,11,FALSE))=TRUE,0,(VLOOKUP(A334,'Workings Prior Month'!A:N,11,FALSE)))</f>
        <v>0</v>
      </c>
      <c r="N334" s="49">
        <f t="shared" si="52"/>
        <v>0</v>
      </c>
      <c r="O334" s="137">
        <f>IF(ISERROR(VLOOKUP(A334,'Cross ref Tab'!A:C,3,FALSE)=TRUE),9500,VLOOKUP(A334,'Cross ref Tab'!A:C,3,FALSE))</f>
        <v>0</v>
      </c>
      <c r="P334" s="137">
        <f>IF(A334="","",COUNTIF('Cross ref Tab'!$A$3:$A$311,A334))</f>
      </c>
      <c r="Q334" s="182">
        <f t="shared" si="53"/>
      </c>
      <c r="R334" s="5">
        <f t="shared" si="54"/>
        <v>0</v>
      </c>
      <c r="S334" s="149">
        <f t="shared" si="55"/>
        <v>0</v>
      </c>
      <c r="T334" s="149">
        <f t="shared" si="56"/>
        <v>0</v>
      </c>
      <c r="U334" s="150">
        <f t="shared" si="57"/>
        <v>0</v>
      </c>
      <c r="V334" s="5" t="e">
        <f>VLOOKUP(A334,#REF!,7,FALSE)-C334</f>
        <v>#REF!</v>
      </c>
      <c r="W334" s="5" t="e">
        <f>SUMIF(#REF!,A334,#REF!)-C334</f>
        <v>#REF!</v>
      </c>
    </row>
    <row r="335" spans="1:23" ht="15" customHeight="1">
      <c r="A335" s="70">
        <f>IF(Download!B325="","",Download!B325)</f>
      </c>
      <c r="B335" s="70">
        <f>IF(Download!C325="","",Download!C325)</f>
      </c>
      <c r="C335" s="45"/>
      <c r="D335" s="42"/>
      <c r="E335" s="252">
        <f>IF(ISERROR(VLOOKUP(A335,'Workings Prior Month'!A:N,4,FALSE))=TRUE,0,(VLOOKUP(A335,'Workings Prior Month'!A:N,4,FALSE)))</f>
        <v>0</v>
      </c>
      <c r="F335" s="29" t="str">
        <f t="shared" si="49"/>
        <v>-</v>
      </c>
      <c r="G335" s="39"/>
      <c r="H335" s="39"/>
      <c r="I335" s="40"/>
      <c r="J335" s="47">
        <f t="shared" si="50"/>
        <v>0</v>
      </c>
      <c r="K335" s="37">
        <f t="shared" si="51"/>
        <v>0</v>
      </c>
      <c r="L335" s="43">
        <f>IF(ISERROR(VLOOKUP(A335,'Workings Prior Month'!A:N,10,FALSE))=TRUE,0,(VLOOKUP(A335,'Workings Prior Month'!A:N,10,FALSE)))</f>
        <v>0</v>
      </c>
      <c r="M335" s="43">
        <f>IF(ISERROR(VLOOKUP(A335,'Workings Prior Month'!A:N,11,FALSE))=TRUE,0,(VLOOKUP(A335,'Workings Prior Month'!A:N,11,FALSE)))</f>
        <v>0</v>
      </c>
      <c r="N335" s="49">
        <f t="shared" si="52"/>
        <v>0</v>
      </c>
      <c r="O335" s="137">
        <f>IF(ISERROR(VLOOKUP(A335,'Cross ref Tab'!A:C,3,FALSE)=TRUE),9500,VLOOKUP(A335,'Cross ref Tab'!A:C,3,FALSE))</f>
        <v>0</v>
      </c>
      <c r="P335" s="137">
        <f>IF(A335="","",COUNTIF('Cross ref Tab'!$A$3:$A$311,A335))</f>
      </c>
      <c r="Q335" s="182">
        <f t="shared" si="53"/>
      </c>
      <c r="R335" s="5">
        <f t="shared" si="54"/>
        <v>0</v>
      </c>
      <c r="S335" s="149">
        <f t="shared" si="55"/>
        <v>0</v>
      </c>
      <c r="T335" s="149">
        <f t="shared" si="56"/>
        <v>0</v>
      </c>
      <c r="U335" s="150">
        <f t="shared" si="57"/>
        <v>0</v>
      </c>
      <c r="V335" s="5" t="e">
        <f>VLOOKUP(A335,#REF!,7,FALSE)-C335</f>
        <v>#REF!</v>
      </c>
      <c r="W335" s="5" t="e">
        <f>SUMIF(#REF!,A335,#REF!)-C335</f>
        <v>#REF!</v>
      </c>
    </row>
    <row r="336" spans="1:23" ht="15" customHeight="1">
      <c r="A336" s="70">
        <f>IF(Download!B326="","",Download!B326)</f>
      </c>
      <c r="B336" s="70">
        <f>IF(Download!C326="","",Download!C326)</f>
      </c>
      <c r="C336" s="45"/>
      <c r="D336" s="42"/>
      <c r="E336" s="252">
        <f>IF(ISERROR(VLOOKUP(A336,'Workings Prior Month'!A:N,4,FALSE))=TRUE,0,(VLOOKUP(A336,'Workings Prior Month'!A:N,4,FALSE)))</f>
        <v>0</v>
      </c>
      <c r="F336" s="29" t="str">
        <f t="shared" si="49"/>
        <v>-</v>
      </c>
      <c r="G336" s="39"/>
      <c r="H336" s="39"/>
      <c r="I336" s="40"/>
      <c r="J336" s="47">
        <f t="shared" si="50"/>
        <v>0</v>
      </c>
      <c r="K336" s="37">
        <f t="shared" si="51"/>
        <v>0</v>
      </c>
      <c r="L336" s="43">
        <f>IF(ISERROR(VLOOKUP(A336,'Workings Prior Month'!A:N,10,FALSE))=TRUE,0,(VLOOKUP(A336,'Workings Prior Month'!A:N,10,FALSE)))</f>
        <v>0</v>
      </c>
      <c r="M336" s="43">
        <f>IF(ISERROR(VLOOKUP(A336,'Workings Prior Month'!A:N,11,FALSE))=TRUE,0,(VLOOKUP(A336,'Workings Prior Month'!A:N,11,FALSE)))</f>
        <v>0</v>
      </c>
      <c r="N336" s="49">
        <f t="shared" si="52"/>
        <v>0</v>
      </c>
      <c r="O336" s="137">
        <f>IF(ISERROR(VLOOKUP(A336,'Cross ref Tab'!A:C,3,FALSE)=TRUE),9500,VLOOKUP(A336,'Cross ref Tab'!A:C,3,FALSE))</f>
        <v>0</v>
      </c>
      <c r="P336" s="137">
        <f>IF(A336="","",COUNTIF('Cross ref Tab'!$A$3:$A$311,A336))</f>
      </c>
      <c r="Q336" s="182">
        <f t="shared" si="53"/>
      </c>
      <c r="R336" s="5">
        <f t="shared" si="54"/>
        <v>0</v>
      </c>
      <c r="S336" s="149">
        <f t="shared" si="55"/>
        <v>0</v>
      </c>
      <c r="T336" s="149">
        <f t="shared" si="56"/>
        <v>0</v>
      </c>
      <c r="U336" s="150">
        <f t="shared" si="57"/>
        <v>0</v>
      </c>
      <c r="V336" s="5" t="e">
        <f>VLOOKUP(A336,#REF!,7,FALSE)-C336</f>
        <v>#REF!</v>
      </c>
      <c r="W336" s="5" t="e">
        <f>SUMIF(#REF!,A336,#REF!)-C336</f>
        <v>#REF!</v>
      </c>
    </row>
    <row r="337" spans="1:23" ht="15" customHeight="1">
      <c r="A337" s="70">
        <f>IF(Download!B327="","",Download!B327)</f>
      </c>
      <c r="B337" s="70">
        <f>IF(Download!C327="","",Download!C327)</f>
      </c>
      <c r="C337" s="45"/>
      <c r="D337" s="42"/>
      <c r="E337" s="252">
        <f>IF(ISERROR(VLOOKUP(A337,'Workings Prior Month'!A:N,4,FALSE))=TRUE,0,(VLOOKUP(A337,'Workings Prior Month'!A:N,4,FALSE)))</f>
        <v>0</v>
      </c>
      <c r="F337" s="29" t="str">
        <f t="shared" si="49"/>
        <v>-</v>
      </c>
      <c r="G337" s="39"/>
      <c r="H337" s="39"/>
      <c r="I337" s="40"/>
      <c r="J337" s="47">
        <f t="shared" si="50"/>
        <v>0</v>
      </c>
      <c r="K337" s="37">
        <f t="shared" si="51"/>
        <v>0</v>
      </c>
      <c r="L337" s="43">
        <f>IF(ISERROR(VLOOKUP(A337,'Workings Prior Month'!A:N,10,FALSE))=TRUE,0,(VLOOKUP(A337,'Workings Prior Month'!A:N,10,FALSE)))</f>
        <v>0</v>
      </c>
      <c r="M337" s="43">
        <f>IF(ISERROR(VLOOKUP(A337,'Workings Prior Month'!A:N,11,FALSE))=TRUE,0,(VLOOKUP(A337,'Workings Prior Month'!A:N,11,FALSE)))</f>
        <v>0</v>
      </c>
      <c r="N337" s="49">
        <f t="shared" si="52"/>
        <v>0</v>
      </c>
      <c r="O337" s="137">
        <f>IF(ISERROR(VLOOKUP(A337,'Cross ref Tab'!A:C,3,FALSE)=TRUE),9500,VLOOKUP(A337,'Cross ref Tab'!A:C,3,FALSE))</f>
        <v>0</v>
      </c>
      <c r="P337" s="137">
        <f>IF(A337="","",COUNTIF('Cross ref Tab'!$A$3:$A$311,A337))</f>
      </c>
      <c r="Q337" s="182">
        <f t="shared" si="53"/>
      </c>
      <c r="R337" s="5">
        <f t="shared" si="54"/>
        <v>0</v>
      </c>
      <c r="S337" s="149">
        <f t="shared" si="55"/>
        <v>0</v>
      </c>
      <c r="T337" s="149">
        <f t="shared" si="56"/>
        <v>0</v>
      </c>
      <c r="U337" s="150">
        <f t="shared" si="57"/>
        <v>0</v>
      </c>
      <c r="V337" s="5" t="e">
        <f>VLOOKUP(A337,#REF!,7,FALSE)-C337</f>
        <v>#REF!</v>
      </c>
      <c r="W337" s="5" t="e">
        <f>SUMIF(#REF!,A337,#REF!)-C337</f>
        <v>#REF!</v>
      </c>
    </row>
    <row r="338" spans="1:23" ht="15" customHeight="1">
      <c r="A338" s="70">
        <f>IF(Download!B328="","",Download!B328)</f>
      </c>
      <c r="B338" s="70">
        <f>IF(Download!C328="","",Download!C328)</f>
      </c>
      <c r="C338" s="45"/>
      <c r="D338" s="42"/>
      <c r="E338" s="252">
        <f>IF(ISERROR(VLOOKUP(A338,'Workings Prior Month'!A:N,4,FALSE))=TRUE,0,(VLOOKUP(A338,'Workings Prior Month'!A:N,4,FALSE)))</f>
        <v>0</v>
      </c>
      <c r="F338" s="29" t="str">
        <f t="shared" si="49"/>
        <v>-</v>
      </c>
      <c r="G338" s="39"/>
      <c r="H338" s="39"/>
      <c r="I338" s="40"/>
      <c r="J338" s="47">
        <f t="shared" si="50"/>
        <v>0</v>
      </c>
      <c r="K338" s="37">
        <f t="shared" si="51"/>
        <v>0</v>
      </c>
      <c r="L338" s="43">
        <f>IF(ISERROR(VLOOKUP(A338,'Workings Prior Month'!A:N,10,FALSE))=TRUE,0,(VLOOKUP(A338,'Workings Prior Month'!A:N,10,FALSE)))</f>
        <v>0</v>
      </c>
      <c r="M338" s="43">
        <f>IF(ISERROR(VLOOKUP(A338,'Workings Prior Month'!A:N,11,FALSE))=TRUE,0,(VLOOKUP(A338,'Workings Prior Month'!A:N,11,FALSE)))</f>
        <v>0</v>
      </c>
      <c r="N338" s="49">
        <f t="shared" si="52"/>
        <v>0</v>
      </c>
      <c r="O338" s="137">
        <f>IF(ISERROR(VLOOKUP(A338,'Cross ref Tab'!A:C,3,FALSE)=TRUE),9500,VLOOKUP(A338,'Cross ref Tab'!A:C,3,FALSE))</f>
        <v>0</v>
      </c>
      <c r="P338" s="137">
        <f>IF(A338="","",COUNTIF('Cross ref Tab'!$A$3:$A$311,A338))</f>
      </c>
      <c r="Q338" s="182">
        <f t="shared" si="53"/>
      </c>
      <c r="R338" s="5">
        <f t="shared" si="54"/>
        <v>0</v>
      </c>
      <c r="S338" s="149">
        <f t="shared" si="55"/>
        <v>0</v>
      </c>
      <c r="T338" s="149">
        <f t="shared" si="56"/>
        <v>0</v>
      </c>
      <c r="U338" s="150">
        <f t="shared" si="57"/>
        <v>0</v>
      </c>
      <c r="V338" s="5" t="e">
        <f>VLOOKUP(A338,#REF!,7,FALSE)-C338</f>
        <v>#REF!</v>
      </c>
      <c r="W338" s="5" t="e">
        <f>SUMIF(#REF!,A338,#REF!)-C338</f>
        <v>#REF!</v>
      </c>
    </row>
    <row r="339" spans="1:23" ht="15" customHeight="1">
      <c r="A339" s="70">
        <f>IF(Download!B329="","",Download!B329)</f>
      </c>
      <c r="B339" s="70">
        <f>IF(Download!C329="","",Download!C329)</f>
      </c>
      <c r="C339" s="45"/>
      <c r="D339" s="42"/>
      <c r="E339" s="252">
        <f>IF(ISERROR(VLOOKUP(A339,'Workings Prior Month'!A:N,4,FALSE))=TRUE,0,(VLOOKUP(A339,'Workings Prior Month'!A:N,4,FALSE)))</f>
        <v>0</v>
      </c>
      <c r="F339" s="29" t="str">
        <f t="shared" si="49"/>
        <v>-</v>
      </c>
      <c r="G339" s="39"/>
      <c r="H339" s="39"/>
      <c r="I339" s="40"/>
      <c r="J339" s="47">
        <f t="shared" si="50"/>
        <v>0</v>
      </c>
      <c r="K339" s="37">
        <f t="shared" si="51"/>
        <v>0</v>
      </c>
      <c r="L339" s="43">
        <f>IF(ISERROR(VLOOKUP(A339,'Workings Prior Month'!A:N,10,FALSE))=TRUE,0,(VLOOKUP(A339,'Workings Prior Month'!A:N,10,FALSE)))</f>
        <v>0</v>
      </c>
      <c r="M339" s="43">
        <f>IF(ISERROR(VLOOKUP(A339,'Workings Prior Month'!A:N,11,FALSE))=TRUE,0,(VLOOKUP(A339,'Workings Prior Month'!A:N,11,FALSE)))</f>
        <v>0</v>
      </c>
      <c r="N339" s="49">
        <f t="shared" si="52"/>
        <v>0</v>
      </c>
      <c r="O339" s="137">
        <f>IF(ISERROR(VLOOKUP(A339,'Cross ref Tab'!A:C,3,FALSE)=TRUE),9500,VLOOKUP(A339,'Cross ref Tab'!A:C,3,FALSE))</f>
        <v>0</v>
      </c>
      <c r="P339" s="137">
        <f>IF(A339="","",COUNTIF('Cross ref Tab'!$A$3:$A$311,A339))</f>
      </c>
      <c r="Q339" s="182">
        <f t="shared" si="53"/>
      </c>
      <c r="R339" s="5">
        <f t="shared" si="54"/>
        <v>0</v>
      </c>
      <c r="S339" s="149">
        <f t="shared" si="55"/>
        <v>0</v>
      </c>
      <c r="T339" s="149">
        <f t="shared" si="56"/>
        <v>0</v>
      </c>
      <c r="U339" s="150">
        <f t="shared" si="57"/>
        <v>0</v>
      </c>
      <c r="V339" s="5" t="e">
        <f>VLOOKUP(A339,#REF!,7,FALSE)-C339</f>
        <v>#REF!</v>
      </c>
      <c r="W339" s="5" t="e">
        <f>SUMIF(#REF!,A339,#REF!)-C339</f>
        <v>#REF!</v>
      </c>
    </row>
    <row r="340" spans="1:23" ht="15" customHeight="1">
      <c r="A340" s="70">
        <f>IF(Download!B330="","",Download!B330)</f>
      </c>
      <c r="B340" s="70">
        <f>IF(Download!C330="","",Download!C330)</f>
      </c>
      <c r="C340" s="45"/>
      <c r="D340" s="42"/>
      <c r="E340" s="252">
        <f>IF(ISERROR(VLOOKUP(A340,'Workings Prior Month'!A:N,4,FALSE))=TRUE,0,(VLOOKUP(A340,'Workings Prior Month'!A:N,4,FALSE)))</f>
        <v>0</v>
      </c>
      <c r="F340" s="29" t="str">
        <f t="shared" si="49"/>
        <v>-</v>
      </c>
      <c r="G340" s="39"/>
      <c r="H340" s="39"/>
      <c r="I340" s="40"/>
      <c r="J340" s="47">
        <f t="shared" si="50"/>
        <v>0</v>
      </c>
      <c r="K340" s="37">
        <f t="shared" si="51"/>
        <v>0</v>
      </c>
      <c r="L340" s="43">
        <f>IF(ISERROR(VLOOKUP(A340,'Workings Prior Month'!A:N,10,FALSE))=TRUE,0,(VLOOKUP(A340,'Workings Prior Month'!A:N,10,FALSE)))</f>
        <v>0</v>
      </c>
      <c r="M340" s="43">
        <f>IF(ISERROR(VLOOKUP(A340,'Workings Prior Month'!A:N,11,FALSE))=TRUE,0,(VLOOKUP(A340,'Workings Prior Month'!A:N,11,FALSE)))</f>
        <v>0</v>
      </c>
      <c r="N340" s="49">
        <f t="shared" si="52"/>
        <v>0</v>
      </c>
      <c r="O340" s="137">
        <f>IF(ISERROR(VLOOKUP(A340,'Cross ref Tab'!A:C,3,FALSE)=TRUE),9500,VLOOKUP(A340,'Cross ref Tab'!A:C,3,FALSE))</f>
        <v>0</v>
      </c>
      <c r="P340" s="137">
        <f>IF(A340="","",COUNTIF('Cross ref Tab'!$A$3:$A$311,A340))</f>
      </c>
      <c r="Q340" s="182">
        <f t="shared" si="53"/>
      </c>
      <c r="R340" s="5">
        <f t="shared" si="54"/>
        <v>0</v>
      </c>
      <c r="S340" s="149">
        <f t="shared" si="55"/>
        <v>0</v>
      </c>
      <c r="T340" s="149">
        <f t="shared" si="56"/>
        <v>0</v>
      </c>
      <c r="U340" s="150">
        <f t="shared" si="57"/>
        <v>0</v>
      </c>
      <c r="V340" s="5" t="e">
        <f>VLOOKUP(A340,#REF!,7,FALSE)-C340</f>
        <v>#REF!</v>
      </c>
      <c r="W340" s="5" t="e">
        <f>SUMIF(#REF!,A340,#REF!)-C340</f>
        <v>#REF!</v>
      </c>
    </row>
    <row r="341" spans="1:23" ht="15" customHeight="1">
      <c r="A341" s="70">
        <f>IF(Download!B331="","",Download!B331)</f>
      </c>
      <c r="B341" s="70">
        <f>IF(Download!C331="","",Download!C331)</f>
      </c>
      <c r="C341" s="45"/>
      <c r="D341" s="42"/>
      <c r="E341" s="252">
        <f>IF(ISERROR(VLOOKUP(A341,'Workings Prior Month'!A:N,4,FALSE))=TRUE,0,(VLOOKUP(A341,'Workings Prior Month'!A:N,4,FALSE)))</f>
        <v>0</v>
      </c>
      <c r="F341" s="29" t="str">
        <f t="shared" si="49"/>
        <v>-</v>
      </c>
      <c r="G341" s="39"/>
      <c r="H341" s="39"/>
      <c r="I341" s="40"/>
      <c r="J341" s="47">
        <f t="shared" si="50"/>
        <v>0</v>
      </c>
      <c r="K341" s="37">
        <f t="shared" si="51"/>
        <v>0</v>
      </c>
      <c r="L341" s="43">
        <f>IF(ISERROR(VLOOKUP(A341,'Workings Prior Month'!A:N,10,FALSE))=TRUE,0,(VLOOKUP(A341,'Workings Prior Month'!A:N,10,FALSE)))</f>
        <v>0</v>
      </c>
      <c r="M341" s="43">
        <f>IF(ISERROR(VLOOKUP(A341,'Workings Prior Month'!A:N,11,FALSE))=TRUE,0,(VLOOKUP(A341,'Workings Prior Month'!A:N,11,FALSE)))</f>
        <v>0</v>
      </c>
      <c r="N341" s="49">
        <f t="shared" si="52"/>
        <v>0</v>
      </c>
      <c r="O341" s="137">
        <f>IF(ISERROR(VLOOKUP(A341,'Cross ref Tab'!A:C,3,FALSE)=TRUE),9500,VLOOKUP(A341,'Cross ref Tab'!A:C,3,FALSE))</f>
        <v>0</v>
      </c>
      <c r="P341" s="137">
        <f>IF(A341="","",COUNTIF('Cross ref Tab'!$A$3:$A$311,A341))</f>
      </c>
      <c r="Q341" s="182">
        <f t="shared" si="53"/>
      </c>
      <c r="R341" s="5">
        <f t="shared" si="54"/>
        <v>0</v>
      </c>
      <c r="S341" s="149">
        <f t="shared" si="55"/>
        <v>0</v>
      </c>
      <c r="T341" s="149">
        <f t="shared" si="56"/>
        <v>0</v>
      </c>
      <c r="U341" s="150">
        <f t="shared" si="57"/>
        <v>0</v>
      </c>
      <c r="V341" s="5" t="e">
        <f>VLOOKUP(A341,#REF!,7,FALSE)-C341</f>
        <v>#REF!</v>
      </c>
      <c r="W341" s="5" t="e">
        <f>SUMIF(#REF!,A341,#REF!)-C341</f>
        <v>#REF!</v>
      </c>
    </row>
    <row r="342" spans="1:23" ht="15" customHeight="1">
      <c r="A342" s="70">
        <f>IF(Download!B332="","",Download!B332)</f>
      </c>
      <c r="B342" s="70">
        <f>IF(Download!C332="","",Download!C332)</f>
      </c>
      <c r="C342" s="45"/>
      <c r="D342" s="42"/>
      <c r="E342" s="252">
        <f>IF(ISERROR(VLOOKUP(A342,'Workings Prior Month'!A:N,4,FALSE))=TRUE,0,(VLOOKUP(A342,'Workings Prior Month'!A:N,4,FALSE)))</f>
        <v>0</v>
      </c>
      <c r="F342" s="29" t="str">
        <f t="shared" si="49"/>
        <v>-</v>
      </c>
      <c r="G342" s="39"/>
      <c r="H342" s="39"/>
      <c r="I342" s="40"/>
      <c r="J342" s="47">
        <f t="shared" si="50"/>
        <v>0</v>
      </c>
      <c r="K342" s="37">
        <f t="shared" si="51"/>
        <v>0</v>
      </c>
      <c r="L342" s="43">
        <f>IF(ISERROR(VLOOKUP(A342,'Workings Prior Month'!A:N,10,FALSE))=TRUE,0,(VLOOKUP(A342,'Workings Prior Month'!A:N,10,FALSE)))</f>
        <v>0</v>
      </c>
      <c r="M342" s="43">
        <f>IF(ISERROR(VLOOKUP(A342,'Workings Prior Month'!A:N,11,FALSE))=TRUE,0,(VLOOKUP(A342,'Workings Prior Month'!A:N,11,FALSE)))</f>
        <v>0</v>
      </c>
      <c r="N342" s="49">
        <f t="shared" si="52"/>
        <v>0</v>
      </c>
      <c r="O342" s="137">
        <f>IF(ISERROR(VLOOKUP(A342,'Cross ref Tab'!A:C,3,FALSE)=TRUE),9500,VLOOKUP(A342,'Cross ref Tab'!A:C,3,FALSE))</f>
        <v>0</v>
      </c>
      <c r="P342" s="137">
        <f>IF(A342="","",COUNTIF('Cross ref Tab'!$A$3:$A$311,A342))</f>
      </c>
      <c r="Q342" s="182">
        <f t="shared" si="53"/>
      </c>
      <c r="R342" s="5">
        <f t="shared" si="54"/>
        <v>0</v>
      </c>
      <c r="S342" s="149">
        <f t="shared" si="55"/>
        <v>0</v>
      </c>
      <c r="T342" s="149">
        <f t="shared" si="56"/>
        <v>0</v>
      </c>
      <c r="U342" s="150">
        <f t="shared" si="57"/>
        <v>0</v>
      </c>
      <c r="V342" s="5" t="e">
        <f>VLOOKUP(A342,#REF!,7,FALSE)-C342</f>
        <v>#REF!</v>
      </c>
      <c r="W342" s="5" t="e">
        <f>SUMIF(#REF!,A342,#REF!)-C342</f>
        <v>#REF!</v>
      </c>
    </row>
    <row r="343" spans="1:23" ht="15" customHeight="1">
      <c r="A343" s="70">
        <f>IF(Download!B333="","",Download!B333)</f>
      </c>
      <c r="B343" s="70">
        <f>IF(Download!C333="","",Download!C333)</f>
      </c>
      <c r="C343" s="45"/>
      <c r="D343" s="42"/>
      <c r="E343" s="252">
        <f>IF(ISERROR(VLOOKUP(A343,'Workings Prior Month'!A:N,4,FALSE))=TRUE,0,(VLOOKUP(A343,'Workings Prior Month'!A:N,4,FALSE)))</f>
        <v>0</v>
      </c>
      <c r="F343" s="29" t="str">
        <f t="shared" si="49"/>
        <v>-</v>
      </c>
      <c r="G343" s="39"/>
      <c r="H343" s="39"/>
      <c r="I343" s="40"/>
      <c r="J343" s="47">
        <f t="shared" si="50"/>
        <v>0</v>
      </c>
      <c r="K343" s="37">
        <f t="shared" si="51"/>
        <v>0</v>
      </c>
      <c r="L343" s="43">
        <f>IF(ISERROR(VLOOKUP(A343,'Workings Prior Month'!A:N,10,FALSE))=TRUE,0,(VLOOKUP(A343,'Workings Prior Month'!A:N,10,FALSE)))</f>
        <v>0</v>
      </c>
      <c r="M343" s="43">
        <f>IF(ISERROR(VLOOKUP(A343,'Workings Prior Month'!A:N,11,FALSE))=TRUE,0,(VLOOKUP(A343,'Workings Prior Month'!A:N,11,FALSE)))</f>
        <v>0</v>
      </c>
      <c r="N343" s="49">
        <f t="shared" si="52"/>
        <v>0</v>
      </c>
      <c r="O343" s="137">
        <f>IF(ISERROR(VLOOKUP(A343,'Cross ref Tab'!A:C,3,FALSE)=TRUE),9500,VLOOKUP(A343,'Cross ref Tab'!A:C,3,FALSE))</f>
        <v>0</v>
      </c>
      <c r="P343" s="137">
        <f>IF(A343="","",COUNTIF('Cross ref Tab'!$A$3:$A$311,A343))</f>
      </c>
      <c r="Q343" s="182">
        <f t="shared" si="53"/>
      </c>
      <c r="R343" s="5">
        <f t="shared" si="54"/>
        <v>0</v>
      </c>
      <c r="S343" s="149">
        <f t="shared" si="55"/>
        <v>0</v>
      </c>
      <c r="T343" s="149">
        <f t="shared" si="56"/>
        <v>0</v>
      </c>
      <c r="U343" s="150">
        <f t="shared" si="57"/>
        <v>0</v>
      </c>
      <c r="V343" s="5" t="e">
        <f>VLOOKUP(A343,#REF!,7,FALSE)-C343</f>
        <v>#REF!</v>
      </c>
      <c r="W343" s="5" t="e">
        <f>SUMIF(#REF!,A343,#REF!)-C343</f>
        <v>#REF!</v>
      </c>
    </row>
    <row r="344" spans="1:23" ht="15" customHeight="1">
      <c r="A344" s="70">
        <f>IF(Download!B334="","",Download!B334)</f>
      </c>
      <c r="B344" s="70">
        <f>IF(Download!C334="","",Download!C334)</f>
      </c>
      <c r="C344" s="45"/>
      <c r="D344" s="42"/>
      <c r="E344" s="252">
        <f>IF(ISERROR(VLOOKUP(A344,'Workings Prior Month'!A:N,4,FALSE))=TRUE,0,(VLOOKUP(A344,'Workings Prior Month'!A:N,4,FALSE)))</f>
        <v>0</v>
      </c>
      <c r="F344" s="29" t="str">
        <f t="shared" si="49"/>
        <v>-</v>
      </c>
      <c r="G344" s="39"/>
      <c r="H344" s="39"/>
      <c r="I344" s="40"/>
      <c r="J344" s="47">
        <f t="shared" si="50"/>
        <v>0</v>
      </c>
      <c r="K344" s="37">
        <f t="shared" si="51"/>
        <v>0</v>
      </c>
      <c r="L344" s="43">
        <f>IF(ISERROR(VLOOKUP(A344,'Workings Prior Month'!A:N,10,FALSE))=TRUE,0,(VLOOKUP(A344,'Workings Prior Month'!A:N,10,FALSE)))</f>
        <v>0</v>
      </c>
      <c r="M344" s="43">
        <f>IF(ISERROR(VLOOKUP(A344,'Workings Prior Month'!A:N,11,FALSE))=TRUE,0,(VLOOKUP(A344,'Workings Prior Month'!A:N,11,FALSE)))</f>
        <v>0</v>
      </c>
      <c r="N344" s="49">
        <f t="shared" si="52"/>
        <v>0</v>
      </c>
      <c r="O344" s="137">
        <f>IF(ISERROR(VLOOKUP(A344,'Cross ref Tab'!A:C,3,FALSE)=TRUE),9500,VLOOKUP(A344,'Cross ref Tab'!A:C,3,FALSE))</f>
        <v>0</v>
      </c>
      <c r="P344" s="137">
        <f>IF(A344="","",COUNTIF('Cross ref Tab'!$A$3:$A$311,A344))</f>
      </c>
      <c r="Q344" s="182">
        <f t="shared" si="53"/>
      </c>
      <c r="R344" s="5">
        <f t="shared" si="54"/>
        <v>0</v>
      </c>
      <c r="S344" s="149">
        <f t="shared" si="55"/>
        <v>0</v>
      </c>
      <c r="T344" s="149">
        <f t="shared" si="56"/>
        <v>0</v>
      </c>
      <c r="U344" s="150">
        <f t="shared" si="57"/>
        <v>0</v>
      </c>
      <c r="V344" s="5" t="e">
        <f>VLOOKUP(A344,#REF!,7,FALSE)-C344</f>
        <v>#REF!</v>
      </c>
      <c r="W344" s="5" t="e">
        <f>SUMIF(#REF!,A344,#REF!)-C344</f>
        <v>#REF!</v>
      </c>
    </row>
    <row r="345" spans="1:23" ht="15" customHeight="1">
      <c r="A345" s="70">
        <f>IF(Download!B335="","",Download!B335)</f>
      </c>
      <c r="B345" s="70">
        <f>IF(Download!C335="","",Download!C335)</f>
      </c>
      <c r="C345" s="45"/>
      <c r="D345" s="42"/>
      <c r="E345" s="252">
        <f>IF(ISERROR(VLOOKUP(A345,'Workings Prior Month'!A:N,4,FALSE))=TRUE,0,(VLOOKUP(A345,'Workings Prior Month'!A:N,4,FALSE)))</f>
        <v>0</v>
      </c>
      <c r="F345" s="29" t="str">
        <f t="shared" si="49"/>
        <v>-</v>
      </c>
      <c r="G345" s="39"/>
      <c r="H345" s="39"/>
      <c r="I345" s="40"/>
      <c r="J345" s="47">
        <f t="shared" si="50"/>
        <v>0</v>
      </c>
      <c r="K345" s="37">
        <f t="shared" si="51"/>
        <v>0</v>
      </c>
      <c r="L345" s="43">
        <f>IF(ISERROR(VLOOKUP(A345,'Workings Prior Month'!A:N,10,FALSE))=TRUE,0,(VLOOKUP(A345,'Workings Prior Month'!A:N,10,FALSE)))</f>
        <v>0</v>
      </c>
      <c r="M345" s="43">
        <f>IF(ISERROR(VLOOKUP(A345,'Workings Prior Month'!A:N,11,FALSE))=TRUE,0,(VLOOKUP(A345,'Workings Prior Month'!A:N,11,FALSE)))</f>
        <v>0</v>
      </c>
      <c r="N345" s="49">
        <f t="shared" si="52"/>
        <v>0</v>
      </c>
      <c r="O345" s="137">
        <f>IF(ISERROR(VLOOKUP(A345,'Cross ref Tab'!A:C,3,FALSE)=TRUE),9500,VLOOKUP(A345,'Cross ref Tab'!A:C,3,FALSE))</f>
        <v>0</v>
      </c>
      <c r="P345" s="137">
        <f>IF(A345="","",COUNTIF('Cross ref Tab'!$A$3:$A$311,A345))</f>
      </c>
      <c r="Q345" s="182">
        <f t="shared" si="53"/>
      </c>
      <c r="R345" s="5">
        <f t="shared" si="54"/>
        <v>0</v>
      </c>
      <c r="S345" s="149">
        <f t="shared" si="55"/>
        <v>0</v>
      </c>
      <c r="T345" s="149">
        <f t="shared" si="56"/>
        <v>0</v>
      </c>
      <c r="U345" s="150">
        <f t="shared" si="57"/>
        <v>0</v>
      </c>
      <c r="V345" s="5" t="e">
        <f>VLOOKUP(A345,#REF!,7,FALSE)-C345</f>
        <v>#REF!</v>
      </c>
      <c r="W345" s="5" t="e">
        <f>SUMIF(#REF!,A345,#REF!)-C345</f>
        <v>#REF!</v>
      </c>
    </row>
    <row r="346" spans="1:23" ht="15" customHeight="1">
      <c r="A346" s="70">
        <f>IF(Download!B336="","",Download!B336)</f>
      </c>
      <c r="B346" s="70">
        <f>IF(Download!C336="","",Download!C336)</f>
      </c>
      <c r="C346" s="45"/>
      <c r="D346" s="42"/>
      <c r="E346" s="252">
        <f>IF(ISERROR(VLOOKUP(A346,'Workings Prior Month'!A:N,4,FALSE))=TRUE,0,(VLOOKUP(A346,'Workings Prior Month'!A:N,4,FALSE)))</f>
        <v>0</v>
      </c>
      <c r="F346" s="29" t="str">
        <f t="shared" si="49"/>
        <v>-</v>
      </c>
      <c r="G346" s="39"/>
      <c r="H346" s="39"/>
      <c r="I346" s="40"/>
      <c r="J346" s="47">
        <f t="shared" si="50"/>
        <v>0</v>
      </c>
      <c r="K346" s="37">
        <f t="shared" si="51"/>
        <v>0</v>
      </c>
      <c r="L346" s="43">
        <f>IF(ISERROR(VLOOKUP(A346,'Workings Prior Month'!A:N,10,FALSE))=TRUE,0,(VLOOKUP(A346,'Workings Prior Month'!A:N,10,FALSE)))</f>
        <v>0</v>
      </c>
      <c r="M346" s="43">
        <f>IF(ISERROR(VLOOKUP(A346,'Workings Prior Month'!A:N,11,FALSE))=TRUE,0,(VLOOKUP(A346,'Workings Prior Month'!A:N,11,FALSE)))</f>
        <v>0</v>
      </c>
      <c r="N346" s="49">
        <f t="shared" si="52"/>
        <v>0</v>
      </c>
      <c r="O346" s="137">
        <f>IF(ISERROR(VLOOKUP(A346,'Cross ref Tab'!A:C,3,FALSE)=TRUE),9500,VLOOKUP(A346,'Cross ref Tab'!A:C,3,FALSE))</f>
        <v>0</v>
      </c>
      <c r="P346" s="137">
        <f>IF(A346="","",COUNTIF('Cross ref Tab'!$A$3:$A$311,A346))</f>
      </c>
      <c r="Q346" s="182">
        <f t="shared" si="53"/>
      </c>
      <c r="R346" s="5">
        <f t="shared" si="54"/>
        <v>0</v>
      </c>
      <c r="S346" s="149">
        <f t="shared" si="55"/>
        <v>0</v>
      </c>
      <c r="T346" s="149">
        <f t="shared" si="56"/>
        <v>0</v>
      </c>
      <c r="U346" s="150">
        <f t="shared" si="57"/>
        <v>0</v>
      </c>
      <c r="V346" s="5" t="e">
        <f>VLOOKUP(A346,#REF!,7,FALSE)-C346</f>
        <v>#REF!</v>
      </c>
      <c r="W346" s="5" t="e">
        <f>SUMIF(#REF!,A346,#REF!)-C346</f>
        <v>#REF!</v>
      </c>
    </row>
    <row r="347" spans="1:23" ht="15" customHeight="1">
      <c r="A347" s="70">
        <f>IF(Download!B337="","",Download!B337)</f>
      </c>
      <c r="B347" s="70">
        <f>IF(Download!C337="","",Download!C337)</f>
      </c>
      <c r="C347" s="45"/>
      <c r="D347" s="42"/>
      <c r="E347" s="252">
        <f>IF(ISERROR(VLOOKUP(A347,'Workings Prior Month'!A:N,4,FALSE))=TRUE,0,(VLOOKUP(A347,'Workings Prior Month'!A:N,4,FALSE)))</f>
        <v>0</v>
      </c>
      <c r="F347" s="29" t="str">
        <f t="shared" si="49"/>
        <v>-</v>
      </c>
      <c r="G347" s="39"/>
      <c r="H347" s="39"/>
      <c r="I347" s="40"/>
      <c r="J347" s="47">
        <f t="shared" si="50"/>
        <v>0</v>
      </c>
      <c r="K347" s="37">
        <f t="shared" si="51"/>
        <v>0</v>
      </c>
      <c r="L347" s="43">
        <f>IF(ISERROR(VLOOKUP(A347,'Workings Prior Month'!A:N,10,FALSE))=TRUE,0,(VLOOKUP(A347,'Workings Prior Month'!A:N,10,FALSE)))</f>
        <v>0</v>
      </c>
      <c r="M347" s="43">
        <f>IF(ISERROR(VLOOKUP(A347,'Workings Prior Month'!A:N,11,FALSE))=TRUE,0,(VLOOKUP(A347,'Workings Prior Month'!A:N,11,FALSE)))</f>
        <v>0</v>
      </c>
      <c r="N347" s="49">
        <f t="shared" si="52"/>
        <v>0</v>
      </c>
      <c r="O347" s="137">
        <f>IF(ISERROR(VLOOKUP(A347,'Cross ref Tab'!A:C,3,FALSE)=TRUE),9500,VLOOKUP(A347,'Cross ref Tab'!A:C,3,FALSE))</f>
        <v>0</v>
      </c>
      <c r="P347" s="137">
        <f>IF(A347="","",COUNTIF('Cross ref Tab'!$A$3:$A$311,A347))</f>
      </c>
      <c r="Q347" s="182">
        <f t="shared" si="53"/>
      </c>
      <c r="R347" s="5">
        <f t="shared" si="54"/>
        <v>0</v>
      </c>
      <c r="S347" s="149">
        <f t="shared" si="55"/>
        <v>0</v>
      </c>
      <c r="T347" s="149">
        <f t="shared" si="56"/>
        <v>0</v>
      </c>
      <c r="U347" s="150">
        <f t="shared" si="57"/>
        <v>0</v>
      </c>
      <c r="V347" s="5" t="e">
        <f>VLOOKUP(A347,#REF!,7,FALSE)-C347</f>
        <v>#REF!</v>
      </c>
      <c r="W347" s="5" t="e">
        <f>SUMIF(#REF!,A347,#REF!)-C347</f>
        <v>#REF!</v>
      </c>
    </row>
    <row r="348" spans="1:23" ht="15" customHeight="1">
      <c r="A348" s="70">
        <f>IF(Download!B338="","",Download!B338)</f>
      </c>
      <c r="B348" s="70">
        <f>IF(Download!C338="","",Download!C338)</f>
      </c>
      <c r="C348" s="45"/>
      <c r="D348" s="42"/>
      <c r="E348" s="252">
        <f>IF(ISERROR(VLOOKUP(A348,'Workings Prior Month'!A:N,4,FALSE))=TRUE,0,(VLOOKUP(A348,'Workings Prior Month'!A:N,4,FALSE)))</f>
        <v>0</v>
      </c>
      <c r="F348" s="29" t="str">
        <f t="shared" si="49"/>
        <v>-</v>
      </c>
      <c r="G348" s="39"/>
      <c r="H348" s="39"/>
      <c r="I348" s="40"/>
      <c r="J348" s="47">
        <f t="shared" si="50"/>
        <v>0</v>
      </c>
      <c r="K348" s="37">
        <f t="shared" si="51"/>
        <v>0</v>
      </c>
      <c r="L348" s="43">
        <f>IF(ISERROR(VLOOKUP(A348,'Workings Prior Month'!A:N,10,FALSE))=TRUE,0,(VLOOKUP(A348,'Workings Prior Month'!A:N,10,FALSE)))</f>
        <v>0</v>
      </c>
      <c r="M348" s="43">
        <f>IF(ISERROR(VLOOKUP(A348,'Workings Prior Month'!A:N,11,FALSE))=TRUE,0,(VLOOKUP(A348,'Workings Prior Month'!A:N,11,FALSE)))</f>
        <v>0</v>
      </c>
      <c r="N348" s="49">
        <f t="shared" si="52"/>
        <v>0</v>
      </c>
      <c r="O348" s="137">
        <f>IF(ISERROR(VLOOKUP(A348,'Cross ref Tab'!A:C,3,FALSE)=TRUE),9500,VLOOKUP(A348,'Cross ref Tab'!A:C,3,FALSE))</f>
        <v>0</v>
      </c>
      <c r="P348" s="137">
        <f>IF(A348="","",COUNTIF('Cross ref Tab'!$A$3:$A$311,A348))</f>
      </c>
      <c r="Q348" s="182">
        <f t="shared" si="53"/>
      </c>
      <c r="R348" s="5">
        <f t="shared" si="54"/>
        <v>0</v>
      </c>
      <c r="S348" s="149">
        <f t="shared" si="55"/>
        <v>0</v>
      </c>
      <c r="T348" s="149">
        <f t="shared" si="56"/>
        <v>0</v>
      </c>
      <c r="U348" s="150">
        <f t="shared" si="57"/>
        <v>0</v>
      </c>
      <c r="V348" s="5" t="e">
        <f>VLOOKUP(A348,#REF!,7,FALSE)-C348</f>
        <v>#REF!</v>
      </c>
      <c r="W348" s="5" t="e">
        <f>SUMIF(#REF!,A348,#REF!)-C348</f>
        <v>#REF!</v>
      </c>
    </row>
    <row r="349" spans="1:23" ht="15" customHeight="1">
      <c r="A349" s="70">
        <f>IF(Download!B339="","",Download!B339)</f>
      </c>
      <c r="B349" s="70">
        <f>IF(Download!C339="","",Download!C339)</f>
      </c>
      <c r="C349" s="45"/>
      <c r="D349" s="42"/>
      <c r="E349" s="252">
        <f>IF(ISERROR(VLOOKUP(A349,'Workings Prior Month'!A:N,4,FALSE))=TRUE,0,(VLOOKUP(A349,'Workings Prior Month'!A:N,4,FALSE)))</f>
        <v>0</v>
      </c>
      <c r="F349" s="29" t="str">
        <f>IF(C349=0,"-",(C349-D349)/C349)</f>
        <v>-</v>
      </c>
      <c r="G349" s="39"/>
      <c r="H349" s="39"/>
      <c r="I349" s="40"/>
      <c r="J349" s="47">
        <f>IF(D349+G349-H349&gt;0,D349+G349-H349,0)</f>
        <v>0</v>
      </c>
      <c r="K349" s="37">
        <f>IF(D349+G349-H349&lt;=0,-D349-G349+H349,0)</f>
        <v>0</v>
      </c>
      <c r="L349" s="43">
        <f>IF(ISERROR(VLOOKUP(A349,'Workings Prior Month'!A:N,10,FALSE))=TRUE,0,(VLOOKUP(A349,'Workings Prior Month'!A:N,10,FALSE)))</f>
        <v>0</v>
      </c>
      <c r="M349" s="43">
        <f>IF(ISERROR(VLOOKUP(A349,'Workings Prior Month'!A:N,11,FALSE))=TRUE,0,(VLOOKUP(A349,'Workings Prior Month'!A:N,11,FALSE)))</f>
        <v>0</v>
      </c>
      <c r="N349" s="49">
        <f>M349-L349-K349+J349</f>
        <v>0</v>
      </c>
      <c r="O349" s="137">
        <f>IF(ISERROR(VLOOKUP(A349,'Cross ref Tab'!A:C,3,FALSE)=TRUE),9500,VLOOKUP(A349,'Cross ref Tab'!A:C,3,FALSE))</f>
        <v>0</v>
      </c>
      <c r="P349" s="137">
        <f>IF(A349="","",COUNTIF('Cross ref Tab'!$A$3:$A$311,A349))</f>
      </c>
      <c r="Q349" s="182">
        <f>IF(O349=9500,+" XREF Code Required","")</f>
      </c>
      <c r="R349" s="5">
        <f>+C349</f>
        <v>0</v>
      </c>
      <c r="S349" s="149">
        <f>+C349-J349+K349</f>
        <v>0</v>
      </c>
      <c r="T349" s="149">
        <f>+R349-S349</f>
        <v>0</v>
      </c>
      <c r="U349" s="150">
        <f>+T349-N349</f>
        <v>0</v>
      </c>
      <c r="V349" s="5" t="e">
        <f>VLOOKUP(A349,#REF!,7,FALSE)-C349</f>
        <v>#REF!</v>
      </c>
      <c r="W349" s="5" t="e">
        <f>SUMIF(#REF!,A349,#REF!)-C349</f>
        <v>#REF!</v>
      </c>
    </row>
    <row r="350" spans="1:23" ht="15" customHeight="1">
      <c r="A350" s="70">
        <f>IF(Download!B340="","",Download!B340)</f>
      </c>
      <c r="B350" s="70">
        <f>IF(Download!C340="","",Download!C340)</f>
      </c>
      <c r="C350" s="45"/>
      <c r="D350" s="42"/>
      <c r="E350" s="252">
        <f>IF(ISERROR(VLOOKUP(A350,'Workings Prior Month'!A:N,4,FALSE))=TRUE,0,(VLOOKUP(A350,'Workings Prior Month'!A:N,4,FALSE)))</f>
        <v>0</v>
      </c>
      <c r="F350" s="29" t="str">
        <f>IF(C350=0,"-",(C350-D350)/C350)</f>
        <v>-</v>
      </c>
      <c r="G350" s="39"/>
      <c r="H350" s="39"/>
      <c r="I350" s="40"/>
      <c r="J350" s="47">
        <f>IF(D350+G350-H350&gt;0,D350+G350-H350,0)</f>
        <v>0</v>
      </c>
      <c r="K350" s="37">
        <f>IF(D350+G350-H350&lt;=0,-D350-G350+H350,0)</f>
        <v>0</v>
      </c>
      <c r="L350" s="43">
        <f>IF(ISERROR(VLOOKUP(A350,'Workings Prior Month'!A:N,10,FALSE))=TRUE,0,(VLOOKUP(A350,'Workings Prior Month'!A:N,10,FALSE)))</f>
        <v>0</v>
      </c>
      <c r="M350" s="43">
        <f>IF(ISERROR(VLOOKUP(A350,'Workings Prior Month'!A:N,11,FALSE))=TRUE,0,(VLOOKUP(A350,'Workings Prior Month'!A:N,11,FALSE)))</f>
        <v>0</v>
      </c>
      <c r="N350" s="49">
        <f>M350-L350-K350+J350</f>
        <v>0</v>
      </c>
      <c r="O350" s="137">
        <f>IF(ISERROR(VLOOKUP(A350,'Cross ref Tab'!A:C,3,FALSE)=TRUE),9500,VLOOKUP(A350,'Cross ref Tab'!A:C,3,FALSE))</f>
        <v>0</v>
      </c>
      <c r="P350" s="137">
        <f>IF(A350="","",COUNTIF('Cross ref Tab'!$A$3:$A$311,A350))</f>
      </c>
      <c r="Q350" s="182">
        <f>IF(O350=9500,+" XREF Code Required","")</f>
      </c>
      <c r="R350" s="5">
        <f>+C350</f>
        <v>0</v>
      </c>
      <c r="S350" s="149">
        <f>+C350-J350+K350</f>
        <v>0</v>
      </c>
      <c r="T350" s="149">
        <f>+R350-S350</f>
        <v>0</v>
      </c>
      <c r="U350" s="150">
        <f>+T350-N350</f>
        <v>0</v>
      </c>
      <c r="V350" s="5" t="e">
        <f>VLOOKUP(A350,#REF!,7,FALSE)-C350</f>
        <v>#REF!</v>
      </c>
      <c r="W350" s="5" t="e">
        <f>SUMIF(#REF!,A350,#REF!)-C350</f>
        <v>#REF!</v>
      </c>
    </row>
    <row r="352" spans="16:17" ht="15" customHeight="1">
      <c r="P352" s="180"/>
      <c r="Q352" s="183"/>
    </row>
  </sheetData>
  <sheetProtection/>
  <autoFilter ref="A11:AK350"/>
  <mergeCells count="16">
    <mergeCell ref="A8:A9"/>
    <mergeCell ref="G5:H5"/>
    <mergeCell ref="G1:H1"/>
    <mergeCell ref="G8:G9"/>
    <mergeCell ref="H8:H9"/>
    <mergeCell ref="B8:B9"/>
    <mergeCell ref="C8:C9"/>
    <mergeCell ref="D8:D9"/>
    <mergeCell ref="E8:E9"/>
    <mergeCell ref="G4:H4"/>
    <mergeCell ref="J5:K5"/>
    <mergeCell ref="J4:K4"/>
    <mergeCell ref="L8:M8"/>
    <mergeCell ref="F8:F9"/>
    <mergeCell ref="J8:K8"/>
    <mergeCell ref="I8:I9"/>
  </mergeCells>
  <conditionalFormatting sqref="G5:H5 J5:K5">
    <cfRule type="cellIs" priority="6" dxfId="9" operator="greaterThanOrEqual" stopIfTrue="1">
      <formula>0</formula>
    </cfRule>
    <cfRule type="cellIs" priority="7" dxfId="8" operator="lessThan" stopIfTrue="1">
      <formula>0</formula>
    </cfRule>
  </conditionalFormatting>
  <conditionalFormatting sqref="K11 J12:K350 N12:N350">
    <cfRule type="cellIs" priority="8" dxfId="2" operator="equal" stopIfTrue="1">
      <formula>0</formula>
    </cfRule>
  </conditionalFormatting>
  <conditionalFormatting sqref="I5">
    <cfRule type="cellIs" priority="9" dxfId="6" operator="greaterThanOrEqual" stopIfTrue="1">
      <formula>0</formula>
    </cfRule>
    <cfRule type="cellIs" priority="10" dxfId="5" operator="lessThan" stopIfTrue="1">
      <formula>0</formula>
    </cfRule>
  </conditionalFormatting>
  <conditionalFormatting sqref="L12:M350">
    <cfRule type="cellIs" priority="5" dxfId="2" operator="equal" stopIfTrue="1">
      <formula>0</formula>
    </cfRule>
  </conditionalFormatting>
  <conditionalFormatting sqref="E12">
    <cfRule type="cellIs" priority="2" dxfId="2" operator="equal" stopIfTrue="1">
      <formula>0</formula>
    </cfRule>
  </conditionalFormatting>
  <conditionalFormatting sqref="E13:E350">
    <cfRule type="cellIs" priority="1" dxfId="2" operator="equal" stopIfTrue="1">
      <formula>0</formula>
    </cfRule>
  </conditionalFormatting>
  <printOptions gridLines="1"/>
  <pageMargins left="0.38" right="0.29" top="0.24" bottom="0.24" header="0.2" footer="0.16"/>
  <pageSetup fitToHeight="8" fitToWidth="1" horizontalDpi="600" verticalDpi="600" orientation="landscape" paperSize="9" scale="79" r:id="rId2"/>
  <drawing r:id="rId1"/>
</worksheet>
</file>

<file path=xl/worksheets/sheet10.xml><?xml version="1.0" encoding="utf-8"?>
<worksheet xmlns="http://schemas.openxmlformats.org/spreadsheetml/2006/main" xmlns:r="http://schemas.openxmlformats.org/officeDocument/2006/relationships">
  <sheetPr codeName="Sheet11"/>
  <dimension ref="A1:H100"/>
  <sheetViews>
    <sheetView zoomScalePageLayoutView="0" workbookViewId="0" topLeftCell="A1">
      <selection activeCell="C20" sqref="C20"/>
    </sheetView>
  </sheetViews>
  <sheetFormatPr defaultColWidth="9.140625" defaultRowHeight="12.75"/>
  <cols>
    <col min="1" max="1" width="41.57421875" style="136" customWidth="1"/>
    <col min="2" max="2" width="13.421875" style="136" bestFit="1" customWidth="1"/>
    <col min="3" max="3" width="7.00390625" style="136" customWidth="1"/>
    <col min="4" max="4" width="43.140625" style="136" bestFit="1" customWidth="1"/>
    <col min="5" max="5" width="20.421875" style="136" bestFit="1" customWidth="1"/>
    <col min="6" max="6" width="3.00390625" style="136" customWidth="1"/>
    <col min="7" max="8" width="9.140625" style="136" customWidth="1"/>
    <col min="9" max="9" width="17.421875" style="136" bestFit="1" customWidth="1"/>
    <col min="10" max="16384" width="9.140625" style="136" customWidth="1"/>
  </cols>
  <sheetData>
    <row r="1" spans="1:5" ht="51.75" customHeight="1">
      <c r="A1" s="375"/>
      <c r="B1" s="375"/>
      <c r="C1" s="375"/>
      <c r="D1" s="375"/>
      <c r="E1" s="375"/>
    </row>
    <row r="2" spans="1:5" ht="21" customHeight="1">
      <c r="A2" s="376"/>
      <c r="B2" s="376"/>
      <c r="C2" s="376"/>
      <c r="D2" s="376"/>
      <c r="E2" s="298"/>
    </row>
    <row r="3" spans="1:5" ht="15.75" customHeight="1">
      <c r="A3" s="377"/>
      <c r="B3" s="377"/>
      <c r="C3" s="377"/>
      <c r="D3" s="377"/>
      <c r="E3" s="298"/>
    </row>
    <row r="4" spans="1:6" ht="18.75">
      <c r="A4" s="89"/>
      <c r="D4" s="89"/>
      <c r="E4" s="299"/>
      <c r="F4" s="299"/>
    </row>
    <row r="5" spans="1:6" ht="15.75">
      <c r="A5" s="90"/>
      <c r="B5" s="300"/>
      <c r="D5" s="301"/>
      <c r="E5" s="302"/>
      <c r="F5" s="299"/>
    </row>
    <row r="6" spans="2:8" ht="15.75">
      <c r="B6" s="303"/>
      <c r="D6" s="304"/>
      <c r="E6" s="305"/>
      <c r="F6" s="299"/>
      <c r="G6" s="310"/>
      <c r="H6" s="310"/>
    </row>
    <row r="7" spans="2:8" ht="15">
      <c r="B7" s="303"/>
      <c r="E7" s="305"/>
      <c r="G7" s="310"/>
      <c r="H7" s="310"/>
    </row>
    <row r="8" spans="2:8" ht="15">
      <c r="B8" s="303"/>
      <c r="E8" s="305"/>
      <c r="G8" s="310"/>
      <c r="H8" s="310"/>
    </row>
    <row r="9" spans="2:5" ht="15.75">
      <c r="B9" s="303"/>
      <c r="D9" s="301"/>
      <c r="E9" s="305"/>
    </row>
    <row r="10" spans="2:5" ht="15">
      <c r="B10" s="303"/>
      <c r="E10" s="305"/>
    </row>
    <row r="11" spans="2:8" ht="15">
      <c r="B11" s="303"/>
      <c r="E11" s="305"/>
      <c r="G11" s="310"/>
      <c r="H11" s="310"/>
    </row>
    <row r="12" spans="2:8" ht="15">
      <c r="B12" s="303"/>
      <c r="E12" s="305"/>
      <c r="G12" s="310"/>
      <c r="H12" s="310"/>
    </row>
    <row r="13" spans="2:8" ht="15">
      <c r="B13" s="303"/>
      <c r="E13" s="305"/>
      <c r="G13" s="310"/>
      <c r="H13" s="310"/>
    </row>
    <row r="14" spans="2:8" ht="15">
      <c r="B14" s="303"/>
      <c r="E14" s="305"/>
      <c r="G14" s="310"/>
      <c r="H14" s="310"/>
    </row>
    <row r="15" spans="2:8" ht="15">
      <c r="B15" s="303"/>
      <c r="E15" s="305"/>
      <c r="G15" s="310"/>
      <c r="H15" s="310"/>
    </row>
    <row r="16" spans="2:5" ht="15">
      <c r="B16" s="303"/>
      <c r="E16" s="305"/>
    </row>
    <row r="17" spans="1:8" ht="15.75">
      <c r="A17" s="90"/>
      <c r="B17" s="306"/>
      <c r="D17" s="301"/>
      <c r="E17" s="305"/>
      <c r="H17" s="307"/>
    </row>
    <row r="18" spans="1:5" ht="15">
      <c r="A18" s="90"/>
      <c r="B18" s="306"/>
      <c r="E18" s="305"/>
    </row>
    <row r="19" spans="1:5" ht="15">
      <c r="A19" s="304"/>
      <c r="B19" s="303"/>
      <c r="E19" s="305"/>
    </row>
    <row r="20" spans="1:5" ht="15">
      <c r="A20" s="304"/>
      <c r="B20" s="303"/>
      <c r="E20" s="305"/>
    </row>
    <row r="21" spans="1:8" ht="15">
      <c r="A21" s="304"/>
      <c r="B21" s="303"/>
      <c r="E21" s="305"/>
      <c r="G21" s="310"/>
      <c r="H21" s="310"/>
    </row>
    <row r="22" spans="1:5" ht="15.75">
      <c r="A22" s="90"/>
      <c r="B22" s="306"/>
      <c r="D22" s="301"/>
      <c r="E22" s="305"/>
    </row>
    <row r="23" spans="1:5" ht="15">
      <c r="A23" s="90"/>
      <c r="B23" s="306"/>
      <c r="E23" s="305"/>
    </row>
    <row r="24" spans="1:6" s="90" customFormat="1" ht="15.75">
      <c r="A24" s="301"/>
      <c r="B24" s="306"/>
      <c r="D24" s="136"/>
      <c r="E24" s="305"/>
      <c r="F24" s="136"/>
    </row>
    <row r="25" spans="2:5" ht="15">
      <c r="B25" s="303"/>
      <c r="E25" s="305"/>
    </row>
    <row r="26" spans="1:5" ht="15">
      <c r="A26" s="90"/>
      <c r="B26" s="306"/>
      <c r="E26" s="305"/>
    </row>
    <row r="27" spans="2:8" ht="12.75">
      <c r="B27" s="307"/>
      <c r="E27" s="307"/>
      <c r="G27" s="310"/>
      <c r="H27" s="310"/>
    </row>
    <row r="28" spans="1:5" ht="15.75">
      <c r="A28" s="301"/>
      <c r="B28" s="311"/>
      <c r="D28" s="301"/>
      <c r="E28" s="307"/>
    </row>
    <row r="29" spans="1:5" ht="15">
      <c r="A29" s="90"/>
      <c r="B29" s="306"/>
      <c r="E29" s="305"/>
    </row>
    <row r="30" spans="2:5" ht="15">
      <c r="B30" s="306"/>
      <c r="C30" s="90"/>
      <c r="E30" s="305"/>
    </row>
    <row r="31" spans="1:5" ht="15.75">
      <c r="A31" s="301"/>
      <c r="B31" s="311"/>
      <c r="E31" s="305"/>
    </row>
    <row r="32" spans="2:5" ht="15">
      <c r="B32" s="307"/>
      <c r="E32" s="305"/>
    </row>
    <row r="33" spans="1:5" ht="15">
      <c r="A33" s="90"/>
      <c r="B33" s="309"/>
      <c r="E33" s="305"/>
    </row>
    <row r="34" spans="2:8" ht="12.75">
      <c r="B34" s="307"/>
      <c r="E34" s="307"/>
      <c r="G34" s="310"/>
      <c r="H34" s="310"/>
    </row>
    <row r="35" spans="2:5" ht="15.75">
      <c r="B35" s="307"/>
      <c r="D35" s="301"/>
      <c r="E35" s="307"/>
    </row>
    <row r="36" spans="2:5" ht="15">
      <c r="B36" s="307"/>
      <c r="E36" s="305"/>
    </row>
    <row r="37" spans="2:5" ht="15">
      <c r="B37" s="312"/>
      <c r="E37" s="308"/>
    </row>
    <row r="38" ht="12.75">
      <c r="E38" s="309"/>
    </row>
    <row r="39" ht="15">
      <c r="E39" s="305"/>
    </row>
    <row r="40" ht="15">
      <c r="E40" s="305"/>
    </row>
    <row r="41" ht="15">
      <c r="E41" s="305"/>
    </row>
    <row r="42" spans="5:8" ht="15">
      <c r="E42" s="305"/>
      <c r="H42" s="313"/>
    </row>
    <row r="43" ht="15">
      <c r="E43" s="305"/>
    </row>
    <row r="44" ht="15">
      <c r="E44" s="305"/>
    </row>
    <row r="45" ht="15">
      <c r="E45" s="308"/>
    </row>
    <row r="46" ht="15">
      <c r="E46" s="308"/>
    </row>
    <row r="47" spans="5:8" ht="15">
      <c r="E47" s="305"/>
      <c r="G47" s="310"/>
      <c r="H47" s="310"/>
    </row>
    <row r="48" spans="4:5" ht="15.75">
      <c r="D48" s="301"/>
      <c r="E48" s="305"/>
    </row>
    <row r="49" ht="15">
      <c r="E49" s="305"/>
    </row>
    <row r="50" ht="15">
      <c r="E50" s="305"/>
    </row>
    <row r="51" ht="15">
      <c r="E51" s="305"/>
    </row>
    <row r="52" ht="12.75">
      <c r="E52" s="307"/>
    </row>
    <row r="53" spans="4:8" ht="15.75">
      <c r="D53" s="299"/>
      <c r="E53" s="307"/>
      <c r="G53" s="310"/>
      <c r="H53" s="310"/>
    </row>
    <row r="54" spans="4:8" ht="15.75">
      <c r="D54" s="301"/>
      <c r="E54" s="307"/>
      <c r="H54" s="313"/>
    </row>
    <row r="55" ht="15">
      <c r="E55" s="305"/>
    </row>
    <row r="56" spans="5:8" ht="15">
      <c r="E56" s="305"/>
      <c r="G56" s="310"/>
      <c r="H56" s="310"/>
    </row>
    <row r="57" spans="4:5" ht="15.75">
      <c r="D57" s="301"/>
      <c r="E57" s="305"/>
    </row>
    <row r="58" ht="15">
      <c r="E58" s="305"/>
    </row>
    <row r="59" ht="15">
      <c r="E59" s="305"/>
    </row>
    <row r="60" spans="5:8" ht="12.75">
      <c r="E60" s="307"/>
      <c r="G60" s="310"/>
      <c r="H60" s="310"/>
    </row>
    <row r="61" spans="4:5" ht="15.75">
      <c r="D61" s="301"/>
      <c r="E61" s="305"/>
    </row>
    <row r="62" ht="15">
      <c r="E62" s="305"/>
    </row>
    <row r="63" ht="15">
      <c r="E63" s="305"/>
    </row>
    <row r="64" spans="5:8" ht="15">
      <c r="E64" s="305"/>
      <c r="G64" s="310"/>
      <c r="H64" s="310"/>
    </row>
    <row r="65" spans="4:5" ht="15.75">
      <c r="D65" s="301"/>
      <c r="E65" s="305"/>
    </row>
    <row r="66" ht="15">
      <c r="E66" s="305"/>
    </row>
    <row r="67" ht="12.75">
      <c r="E67" s="307"/>
    </row>
    <row r="68" ht="15">
      <c r="E68" s="305"/>
    </row>
    <row r="69" spans="5:8" ht="12.75">
      <c r="E69" s="307"/>
      <c r="G69" s="310"/>
      <c r="H69" s="310"/>
    </row>
    <row r="70" spans="5:8" ht="12.75">
      <c r="E70" s="307"/>
      <c r="H70" s="313"/>
    </row>
    <row r="71" spans="4:8" ht="15">
      <c r="D71" s="90"/>
      <c r="E71" s="306"/>
      <c r="H71" s="313"/>
    </row>
    <row r="72" spans="5:8" ht="12.75">
      <c r="E72" s="307"/>
      <c r="H72" s="313"/>
    </row>
    <row r="73" spans="4:8" ht="15.75">
      <c r="D73" s="301"/>
      <c r="E73" s="305"/>
      <c r="H73" s="313"/>
    </row>
    <row r="74" spans="5:8" ht="15">
      <c r="E74" s="305"/>
      <c r="H74" s="313"/>
    </row>
    <row r="75" spans="5:8" ht="15">
      <c r="E75" s="305"/>
      <c r="H75" s="313"/>
    </row>
    <row r="76" spans="5:8" ht="15">
      <c r="E76" s="314"/>
      <c r="H76" s="313"/>
    </row>
    <row r="77" spans="5:8" ht="15">
      <c r="E77" s="305"/>
      <c r="H77" s="313"/>
    </row>
    <row r="78" spans="4:8" ht="15.75">
      <c r="D78" s="301"/>
      <c r="E78" s="314"/>
      <c r="H78" s="313"/>
    </row>
    <row r="79" spans="5:8" ht="12.75">
      <c r="E79" s="307"/>
      <c r="H79" s="313"/>
    </row>
    <row r="80" spans="4:8" ht="15.75">
      <c r="D80" s="301"/>
      <c r="E80" s="311"/>
      <c r="H80" s="313"/>
    </row>
    <row r="81" spans="5:8" ht="15.75">
      <c r="E81" s="307"/>
      <c r="F81" s="301"/>
      <c r="H81" s="313"/>
    </row>
    <row r="82" spans="4:5" ht="15.75">
      <c r="D82" s="315"/>
      <c r="E82" s="311"/>
    </row>
    <row r="85" ht="15">
      <c r="A85" s="90"/>
    </row>
    <row r="90" spans="1:2" ht="15">
      <c r="A90" s="90"/>
      <c r="B90" s="300"/>
    </row>
    <row r="95" spans="1:2" ht="15">
      <c r="A95" s="90"/>
      <c r="B95" s="300"/>
    </row>
    <row r="100" spans="1:2" ht="15">
      <c r="A100" s="90"/>
      <c r="B100" s="300"/>
    </row>
  </sheetData>
  <sheetProtection/>
  <mergeCells count="3">
    <mergeCell ref="A1:E1"/>
    <mergeCell ref="A2:D2"/>
    <mergeCell ref="A3:D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2:C276"/>
  <sheetViews>
    <sheetView zoomScalePageLayoutView="0" workbookViewId="0" topLeftCell="A16">
      <selection activeCell="K49" sqref="K49"/>
    </sheetView>
  </sheetViews>
  <sheetFormatPr defaultColWidth="9.140625" defaultRowHeight="12.75"/>
  <cols>
    <col min="1" max="1" width="9.7109375" style="0" bestFit="1" customWidth="1"/>
    <col min="2" max="2" width="31.28125" style="0" bestFit="1" customWidth="1"/>
    <col min="3" max="3" width="36.7109375" style="0" customWidth="1"/>
  </cols>
  <sheetData>
    <row r="2" spans="2:3" ht="12.75">
      <c r="B2" t="s">
        <v>372</v>
      </c>
      <c r="C2" t="s">
        <v>373</v>
      </c>
    </row>
    <row r="3" ht="12.75">
      <c r="C3" t="s">
        <v>432</v>
      </c>
    </row>
    <row r="4" ht="12.75">
      <c r="C4" t="s">
        <v>374</v>
      </c>
    </row>
    <row r="5" spans="2:3" ht="12.75">
      <c r="B5" t="s">
        <v>375</v>
      </c>
      <c r="C5" t="s">
        <v>376</v>
      </c>
    </row>
    <row r="6" ht="12.75">
      <c r="C6" t="s">
        <v>377</v>
      </c>
    </row>
    <row r="7" spans="2:3" ht="12.75">
      <c r="B7" t="s">
        <v>378</v>
      </c>
      <c r="C7" t="s">
        <v>379</v>
      </c>
    </row>
    <row r="8" spans="2:3" ht="12.75">
      <c r="B8" t="s">
        <v>381</v>
      </c>
      <c r="C8" t="s">
        <v>380</v>
      </c>
    </row>
    <row r="9" ht="12.75">
      <c r="C9" t="s">
        <v>382</v>
      </c>
    </row>
    <row r="10" ht="12.75">
      <c r="C10" t="s">
        <v>383</v>
      </c>
    </row>
    <row r="11" ht="12.75">
      <c r="C11" t="s">
        <v>384</v>
      </c>
    </row>
    <row r="12" ht="12.75">
      <c r="C12" t="s">
        <v>385</v>
      </c>
    </row>
    <row r="13" spans="2:3" ht="12.75">
      <c r="B13" t="s">
        <v>386</v>
      </c>
      <c r="C13" t="s">
        <v>387</v>
      </c>
    </row>
    <row r="14" ht="12.75">
      <c r="C14" t="s">
        <v>388</v>
      </c>
    </row>
    <row r="15" ht="12.75">
      <c r="C15" t="s">
        <v>389</v>
      </c>
    </row>
    <row r="16" spans="2:3" ht="12.75">
      <c r="B16" t="s">
        <v>390</v>
      </c>
      <c r="C16" t="s">
        <v>391</v>
      </c>
    </row>
    <row r="17" ht="12.75">
      <c r="C17" t="s">
        <v>392</v>
      </c>
    </row>
    <row r="18" ht="12.75">
      <c r="C18" t="s">
        <v>393</v>
      </c>
    </row>
    <row r="19" ht="12.75">
      <c r="C19" t="s">
        <v>394</v>
      </c>
    </row>
    <row r="20" spans="2:3" ht="12.75">
      <c r="B20" t="s">
        <v>395</v>
      </c>
      <c r="C20" t="s">
        <v>396</v>
      </c>
    </row>
    <row r="21" ht="12.75">
      <c r="C21" t="s">
        <v>397</v>
      </c>
    </row>
    <row r="22" ht="12.75">
      <c r="C22" t="s">
        <v>398</v>
      </c>
    </row>
    <row r="23" ht="12.75">
      <c r="C23" t="s">
        <v>399</v>
      </c>
    </row>
    <row r="24" ht="12.75">
      <c r="C24" t="s">
        <v>400</v>
      </c>
    </row>
    <row r="25" spans="2:3" ht="12.75">
      <c r="B25" t="s">
        <v>401</v>
      </c>
      <c r="C25" t="s">
        <v>402</v>
      </c>
    </row>
    <row r="26" ht="12.75">
      <c r="C26" t="s">
        <v>403</v>
      </c>
    </row>
    <row r="27" ht="12.75">
      <c r="C27" t="s">
        <v>404</v>
      </c>
    </row>
    <row r="28" ht="12.75">
      <c r="C28" t="s">
        <v>405</v>
      </c>
    </row>
    <row r="29" ht="12.75">
      <c r="C29" t="s">
        <v>406</v>
      </c>
    </row>
    <row r="30" ht="12.75">
      <c r="C30" t="s">
        <v>407</v>
      </c>
    </row>
    <row r="31" ht="12.75">
      <c r="C31" t="s">
        <v>408</v>
      </c>
    </row>
    <row r="32" ht="12.75">
      <c r="C32" t="s">
        <v>409</v>
      </c>
    </row>
    <row r="33" ht="12.75">
      <c r="C33" t="s">
        <v>410</v>
      </c>
    </row>
    <row r="34" spans="2:3" ht="12.75">
      <c r="B34" t="s">
        <v>412</v>
      </c>
      <c r="C34" t="s">
        <v>411</v>
      </c>
    </row>
    <row r="35" ht="12.75">
      <c r="C35" t="s">
        <v>413</v>
      </c>
    </row>
    <row r="36" ht="12.75">
      <c r="C36" t="s">
        <v>414</v>
      </c>
    </row>
    <row r="37" ht="12.75">
      <c r="C37" t="s">
        <v>415</v>
      </c>
    </row>
    <row r="38" spans="2:3" ht="12.75">
      <c r="B38" t="s">
        <v>416</v>
      </c>
      <c r="C38" t="s">
        <v>417</v>
      </c>
    </row>
    <row r="39" spans="2:3" ht="12.75">
      <c r="B39" t="s">
        <v>418</v>
      </c>
      <c r="C39" t="s">
        <v>419</v>
      </c>
    </row>
    <row r="40" ht="12.75">
      <c r="C40" t="s">
        <v>420</v>
      </c>
    </row>
    <row r="41" spans="2:3" ht="12.75">
      <c r="B41" t="s">
        <v>421</v>
      </c>
      <c r="C41" t="s">
        <v>422</v>
      </c>
    </row>
    <row r="42" ht="12.75">
      <c r="C42" t="s">
        <v>423</v>
      </c>
    </row>
    <row r="43" spans="2:3" ht="12.75">
      <c r="B43" t="s">
        <v>424</v>
      </c>
      <c r="C43" t="s">
        <v>425</v>
      </c>
    </row>
    <row r="44" ht="12.75">
      <c r="C44" t="s">
        <v>426</v>
      </c>
    </row>
    <row r="45" spans="2:3" ht="12.75">
      <c r="B45" t="s">
        <v>427</v>
      </c>
      <c r="C45" t="s">
        <v>428</v>
      </c>
    </row>
    <row r="46" ht="12.75">
      <c r="C46" t="s">
        <v>429</v>
      </c>
    </row>
    <row r="47" ht="12.75">
      <c r="C47" t="s">
        <v>430</v>
      </c>
    </row>
    <row r="48" spans="1:3" ht="12.75">
      <c r="A48">
        <v>101</v>
      </c>
      <c r="B48" t="s">
        <v>64</v>
      </c>
      <c r="C48" t="s">
        <v>387</v>
      </c>
    </row>
    <row r="49" spans="1:3" ht="12.75">
      <c r="A49">
        <v>102</v>
      </c>
      <c r="B49" t="s">
        <v>65</v>
      </c>
      <c r="C49" t="s">
        <v>389</v>
      </c>
    </row>
    <row r="50" spans="1:3" ht="12.75">
      <c r="A50">
        <v>103</v>
      </c>
      <c r="B50" t="s">
        <v>66</v>
      </c>
      <c r="C50" t="s">
        <v>382</v>
      </c>
    </row>
    <row r="51" spans="1:3" ht="12.75">
      <c r="A51">
        <v>104</v>
      </c>
      <c r="B51" t="s">
        <v>67</v>
      </c>
      <c r="C51" t="s">
        <v>389</v>
      </c>
    </row>
    <row r="52" spans="1:3" ht="12.75">
      <c r="A52">
        <v>105</v>
      </c>
      <c r="B52" t="s">
        <v>68</v>
      </c>
      <c r="C52" t="s">
        <v>431</v>
      </c>
    </row>
    <row r="53" spans="1:3" ht="12.75">
      <c r="A53">
        <v>106</v>
      </c>
      <c r="B53" t="s">
        <v>69</v>
      </c>
      <c r="C53" t="s">
        <v>382</v>
      </c>
    </row>
    <row r="54" spans="1:3" ht="12.75">
      <c r="A54">
        <v>107</v>
      </c>
      <c r="B54" t="s">
        <v>70</v>
      </c>
      <c r="C54" t="s">
        <v>379</v>
      </c>
    </row>
    <row r="55" spans="1:3" ht="12.75">
      <c r="A55">
        <v>108</v>
      </c>
      <c r="B55" t="s">
        <v>71</v>
      </c>
      <c r="C55" t="s">
        <v>379</v>
      </c>
    </row>
    <row r="56" spans="1:3" ht="12.75">
      <c r="A56">
        <v>109</v>
      </c>
      <c r="B56" t="s">
        <v>72</v>
      </c>
      <c r="C56" t="s">
        <v>379</v>
      </c>
    </row>
    <row r="57" spans="1:3" ht="12.75">
      <c r="A57">
        <v>112</v>
      </c>
      <c r="B57" t="s">
        <v>73</v>
      </c>
      <c r="C57" t="s">
        <v>379</v>
      </c>
    </row>
    <row r="58" spans="1:3" ht="12.75">
      <c r="A58">
        <v>113</v>
      </c>
      <c r="B58" t="s">
        <v>74</v>
      </c>
      <c r="C58" t="s">
        <v>379</v>
      </c>
    </row>
    <row r="59" spans="1:3" ht="12.75">
      <c r="A59">
        <v>114</v>
      </c>
      <c r="B59" t="s">
        <v>75</v>
      </c>
      <c r="C59" t="s">
        <v>382</v>
      </c>
    </row>
    <row r="60" spans="1:3" ht="12.75">
      <c r="A60">
        <v>115</v>
      </c>
      <c r="B60" t="s">
        <v>76</v>
      </c>
      <c r="C60" t="s">
        <v>382</v>
      </c>
    </row>
    <row r="61" spans="1:3" ht="12.75">
      <c r="A61">
        <v>116</v>
      </c>
      <c r="B61" t="s">
        <v>77</v>
      </c>
      <c r="C61" t="s">
        <v>383</v>
      </c>
    </row>
    <row r="62" spans="1:3" ht="12.75">
      <c r="A62">
        <v>117</v>
      </c>
      <c r="B62" t="s">
        <v>78</v>
      </c>
      <c r="C62" t="s">
        <v>382</v>
      </c>
    </row>
    <row r="63" spans="1:3" ht="12.75">
      <c r="A63">
        <v>118</v>
      </c>
      <c r="B63" t="s">
        <v>79</v>
      </c>
      <c r="C63" t="s">
        <v>383</v>
      </c>
    </row>
    <row r="64" spans="1:3" ht="12.75">
      <c r="A64">
        <v>120</v>
      </c>
      <c r="B64" t="s">
        <v>80</v>
      </c>
      <c r="C64" t="s">
        <v>383</v>
      </c>
    </row>
    <row r="65" spans="1:3" ht="12.75">
      <c r="A65">
        <v>121</v>
      </c>
      <c r="B65" t="s">
        <v>81</v>
      </c>
      <c r="C65" t="s">
        <v>382</v>
      </c>
    </row>
    <row r="66" spans="1:3" ht="12.75">
      <c r="A66">
        <v>122</v>
      </c>
      <c r="B66" t="s">
        <v>82</v>
      </c>
      <c r="C66" t="s">
        <v>382</v>
      </c>
    </row>
    <row r="67" spans="1:3" ht="12.75">
      <c r="A67">
        <v>150</v>
      </c>
      <c r="B67" t="s">
        <v>83</v>
      </c>
      <c r="C67" t="s">
        <v>380</v>
      </c>
    </row>
    <row r="68" spans="1:3" ht="12.75">
      <c r="A68">
        <v>151</v>
      </c>
      <c r="B68" t="s">
        <v>84</v>
      </c>
      <c r="C68" t="s">
        <v>425</v>
      </c>
    </row>
    <row r="69" spans="1:3" ht="12.75">
      <c r="A69">
        <v>153</v>
      </c>
      <c r="B69" t="s">
        <v>85</v>
      </c>
      <c r="C69" t="s">
        <v>374</v>
      </c>
    </row>
    <row r="70" spans="1:3" ht="12.75">
      <c r="A70">
        <v>158</v>
      </c>
      <c r="B70" t="s">
        <v>86</v>
      </c>
      <c r="C70" t="s">
        <v>384</v>
      </c>
    </row>
    <row r="71" spans="1:3" ht="12.75">
      <c r="A71">
        <v>200</v>
      </c>
      <c r="B71" t="s">
        <v>87</v>
      </c>
      <c r="C71" t="s">
        <v>373</v>
      </c>
    </row>
    <row r="72" spans="1:3" ht="12.75">
      <c r="A72">
        <v>201</v>
      </c>
      <c r="B72" t="s">
        <v>88</v>
      </c>
      <c r="C72" t="s">
        <v>374</v>
      </c>
    </row>
    <row r="73" spans="1:3" ht="12.75">
      <c r="A73">
        <v>202</v>
      </c>
      <c r="B73" t="s">
        <v>89</v>
      </c>
      <c r="C73" t="s">
        <v>432</v>
      </c>
    </row>
    <row r="74" spans="1:3" ht="12.75">
      <c r="A74">
        <v>205</v>
      </c>
      <c r="B74" t="s">
        <v>90</v>
      </c>
      <c r="C74" t="s">
        <v>377</v>
      </c>
    </row>
    <row r="75" spans="1:3" ht="12.75">
      <c r="A75" t="s">
        <v>91</v>
      </c>
      <c r="B75" t="s">
        <v>92</v>
      </c>
      <c r="C75" t="s">
        <v>433</v>
      </c>
    </row>
    <row r="76" spans="1:3" ht="12.75">
      <c r="A76">
        <v>217</v>
      </c>
      <c r="B76" t="s">
        <v>93</v>
      </c>
      <c r="C76" t="s">
        <v>374</v>
      </c>
    </row>
    <row r="77" spans="1:2" ht="12.75">
      <c r="A77" t="s">
        <v>94</v>
      </c>
      <c r="B77" t="s">
        <v>95</v>
      </c>
    </row>
    <row r="78" spans="1:3" ht="12.75">
      <c r="A78">
        <v>250</v>
      </c>
      <c r="B78" t="s">
        <v>96</v>
      </c>
      <c r="C78" t="s">
        <v>377</v>
      </c>
    </row>
    <row r="79" spans="1:3" ht="12.75">
      <c r="A79">
        <v>254</v>
      </c>
      <c r="B79" t="s">
        <v>97</v>
      </c>
      <c r="C79" t="s">
        <v>377</v>
      </c>
    </row>
    <row r="80" spans="1:3" ht="12.75">
      <c r="A80">
        <v>300</v>
      </c>
      <c r="B80" t="s">
        <v>98</v>
      </c>
      <c r="C80" t="s">
        <v>430</v>
      </c>
    </row>
    <row r="81" spans="1:3" ht="12.75">
      <c r="A81">
        <v>301</v>
      </c>
      <c r="B81" t="s">
        <v>99</v>
      </c>
      <c r="C81" t="s">
        <v>402</v>
      </c>
    </row>
    <row r="82" spans="1:3" ht="12.75">
      <c r="A82">
        <v>303</v>
      </c>
      <c r="B82" t="s">
        <v>100</v>
      </c>
      <c r="C82" t="s">
        <v>402</v>
      </c>
    </row>
    <row r="83" spans="1:3" ht="12.75">
      <c r="A83" t="s">
        <v>101</v>
      </c>
      <c r="B83" t="s">
        <v>102</v>
      </c>
      <c r="C83" t="s">
        <v>402</v>
      </c>
    </row>
    <row r="84" spans="1:3" ht="12.75">
      <c r="A84">
        <v>304</v>
      </c>
      <c r="B84" t="s">
        <v>103</v>
      </c>
      <c r="C84" t="s">
        <v>402</v>
      </c>
    </row>
    <row r="85" spans="1:3" ht="12.75">
      <c r="A85" t="s">
        <v>104</v>
      </c>
      <c r="B85" t="s">
        <v>105</v>
      </c>
      <c r="C85" t="s">
        <v>402</v>
      </c>
    </row>
    <row r="86" spans="1:3" ht="12.75">
      <c r="A86">
        <v>306</v>
      </c>
      <c r="B86" t="s">
        <v>106</v>
      </c>
      <c r="C86" t="s">
        <v>402</v>
      </c>
    </row>
    <row r="87" spans="1:3" ht="12.75">
      <c r="A87">
        <v>307</v>
      </c>
      <c r="B87" t="s">
        <v>107</v>
      </c>
      <c r="C87" t="s">
        <v>402</v>
      </c>
    </row>
    <row r="88" spans="1:3" ht="12.75">
      <c r="A88">
        <v>308</v>
      </c>
      <c r="B88" t="s">
        <v>108</v>
      </c>
      <c r="C88" t="s">
        <v>402</v>
      </c>
    </row>
    <row r="89" spans="1:2" ht="12.75">
      <c r="A89">
        <v>309</v>
      </c>
      <c r="B89" t="s">
        <v>109</v>
      </c>
    </row>
    <row r="90" spans="1:2" ht="12.75">
      <c r="A90">
        <v>310</v>
      </c>
      <c r="B90" t="s">
        <v>110</v>
      </c>
    </row>
    <row r="91" spans="1:3" ht="12.75">
      <c r="A91">
        <v>312</v>
      </c>
      <c r="B91" t="s">
        <v>111</v>
      </c>
      <c r="C91" t="s">
        <v>402</v>
      </c>
    </row>
    <row r="92" spans="1:3" ht="12.75">
      <c r="A92">
        <v>313</v>
      </c>
      <c r="B92" t="s">
        <v>112</v>
      </c>
      <c r="C92" t="s">
        <v>402</v>
      </c>
    </row>
    <row r="93" spans="1:3" ht="12.75">
      <c r="A93">
        <v>314</v>
      </c>
      <c r="B93" t="s">
        <v>113</v>
      </c>
      <c r="C93" t="s">
        <v>402</v>
      </c>
    </row>
    <row r="94" spans="1:3" ht="12.75">
      <c r="A94">
        <v>315</v>
      </c>
      <c r="B94" t="s">
        <v>114</v>
      </c>
      <c r="C94" t="s">
        <v>402</v>
      </c>
    </row>
    <row r="95" spans="1:2" ht="12.75">
      <c r="A95" t="s">
        <v>115</v>
      </c>
      <c r="B95" t="s">
        <v>116</v>
      </c>
    </row>
    <row r="96" spans="1:3" ht="12.75">
      <c r="A96">
        <v>316</v>
      </c>
      <c r="B96" t="s">
        <v>117</v>
      </c>
      <c r="C96" t="s">
        <v>402</v>
      </c>
    </row>
    <row r="97" spans="1:3" ht="12.75">
      <c r="A97">
        <v>317</v>
      </c>
      <c r="B97" t="s">
        <v>118</v>
      </c>
      <c r="C97" t="s">
        <v>402</v>
      </c>
    </row>
    <row r="98" spans="1:3" ht="12.75">
      <c r="A98">
        <v>318</v>
      </c>
      <c r="B98" t="s">
        <v>119</v>
      </c>
      <c r="C98" t="s">
        <v>402</v>
      </c>
    </row>
    <row r="99" spans="1:3" ht="12.75">
      <c r="A99">
        <v>319</v>
      </c>
      <c r="B99" t="s">
        <v>120</v>
      </c>
      <c r="C99" t="s">
        <v>402</v>
      </c>
    </row>
    <row r="100" spans="1:3" ht="12.75">
      <c r="A100">
        <v>320</v>
      </c>
      <c r="B100" t="s">
        <v>121</v>
      </c>
      <c r="C100" t="s">
        <v>402</v>
      </c>
    </row>
    <row r="101" spans="1:3" ht="12.75">
      <c r="A101">
        <v>322</v>
      </c>
      <c r="B101" t="s">
        <v>122</v>
      </c>
      <c r="C101" t="s">
        <v>402</v>
      </c>
    </row>
    <row r="102" spans="1:3" ht="12.75">
      <c r="A102">
        <v>324</v>
      </c>
      <c r="B102" t="s">
        <v>123</v>
      </c>
      <c r="C102" t="s">
        <v>402</v>
      </c>
    </row>
    <row r="103" spans="1:3" ht="12.75">
      <c r="A103">
        <v>325</v>
      </c>
      <c r="B103" t="s">
        <v>124</v>
      </c>
      <c r="C103" t="s">
        <v>402</v>
      </c>
    </row>
    <row r="104" spans="1:3" ht="12.75">
      <c r="A104">
        <v>326</v>
      </c>
      <c r="B104" t="s">
        <v>125</v>
      </c>
      <c r="C104" t="s">
        <v>402</v>
      </c>
    </row>
    <row r="105" spans="1:3" ht="12.75">
      <c r="A105">
        <v>330</v>
      </c>
      <c r="B105" t="s">
        <v>126</v>
      </c>
      <c r="C105" t="s">
        <v>409</v>
      </c>
    </row>
    <row r="106" spans="1:3" ht="12.75">
      <c r="A106">
        <v>331</v>
      </c>
      <c r="B106" t="s">
        <v>127</v>
      </c>
      <c r="C106" t="s">
        <v>402</v>
      </c>
    </row>
    <row r="107" spans="1:3" ht="12.75">
      <c r="A107">
        <v>332</v>
      </c>
      <c r="B107" t="s">
        <v>128</v>
      </c>
      <c r="C107" t="s">
        <v>422</v>
      </c>
    </row>
    <row r="108" spans="1:3" ht="12.75">
      <c r="A108" t="s">
        <v>129</v>
      </c>
      <c r="B108" t="s">
        <v>130</v>
      </c>
      <c r="C108" t="s">
        <v>422</v>
      </c>
    </row>
    <row r="109" spans="1:3" ht="12.75">
      <c r="A109">
        <v>333</v>
      </c>
      <c r="B109" t="s">
        <v>131</v>
      </c>
      <c r="C109" t="s">
        <v>402</v>
      </c>
    </row>
    <row r="110" spans="1:3" ht="12.75">
      <c r="A110">
        <v>336</v>
      </c>
      <c r="B110" t="s">
        <v>132</v>
      </c>
      <c r="C110" t="s">
        <v>402</v>
      </c>
    </row>
    <row r="111" spans="1:3" ht="12.75">
      <c r="A111">
        <v>337</v>
      </c>
      <c r="B111" t="s">
        <v>133</v>
      </c>
      <c r="C111" t="s">
        <v>402</v>
      </c>
    </row>
    <row r="112" spans="1:3" ht="12.75">
      <c r="A112">
        <v>338</v>
      </c>
      <c r="B112" t="s">
        <v>134</v>
      </c>
      <c r="C112" t="s">
        <v>402</v>
      </c>
    </row>
    <row r="113" spans="1:3" ht="12.75">
      <c r="A113">
        <v>340</v>
      </c>
      <c r="B113" t="s">
        <v>135</v>
      </c>
      <c r="C113" t="s">
        <v>405</v>
      </c>
    </row>
    <row r="114" spans="1:3" ht="12.75">
      <c r="A114">
        <v>341</v>
      </c>
      <c r="B114" t="s">
        <v>136</v>
      </c>
      <c r="C114" t="s">
        <v>405</v>
      </c>
    </row>
    <row r="115" spans="1:3" ht="12.75">
      <c r="A115">
        <v>342</v>
      </c>
      <c r="B115" t="s">
        <v>137</v>
      </c>
      <c r="C115" t="s">
        <v>405</v>
      </c>
    </row>
    <row r="116" spans="1:3" ht="12.75">
      <c r="A116">
        <v>343</v>
      </c>
      <c r="B116" t="s">
        <v>138</v>
      </c>
      <c r="C116" t="s">
        <v>405</v>
      </c>
    </row>
    <row r="117" spans="1:3" ht="12.75">
      <c r="A117">
        <v>344</v>
      </c>
      <c r="B117" t="s">
        <v>139</v>
      </c>
      <c r="C117" t="s">
        <v>405</v>
      </c>
    </row>
    <row r="118" spans="1:3" ht="12.75">
      <c r="A118">
        <v>346</v>
      </c>
      <c r="B118" t="s">
        <v>140</v>
      </c>
      <c r="C118" t="s">
        <v>405</v>
      </c>
    </row>
    <row r="119" spans="1:3" ht="12.75">
      <c r="A119">
        <v>348</v>
      </c>
      <c r="B119" t="s">
        <v>141</v>
      </c>
      <c r="C119" s="81" t="s">
        <v>408</v>
      </c>
    </row>
    <row r="120" spans="1:3" ht="12.75">
      <c r="A120">
        <v>349</v>
      </c>
      <c r="B120" t="s">
        <v>142</v>
      </c>
      <c r="C120" t="s">
        <v>405</v>
      </c>
    </row>
    <row r="121" spans="1:3" ht="12.75">
      <c r="A121">
        <v>350</v>
      </c>
      <c r="B121" t="s">
        <v>143</v>
      </c>
      <c r="C121" t="s">
        <v>407</v>
      </c>
    </row>
    <row r="122" spans="1:3" ht="12.75">
      <c r="A122">
        <v>351</v>
      </c>
      <c r="B122" t="s">
        <v>144</v>
      </c>
      <c r="C122" t="s">
        <v>407</v>
      </c>
    </row>
    <row r="123" spans="1:2" ht="12.75">
      <c r="A123">
        <v>352</v>
      </c>
      <c r="B123" t="s">
        <v>145</v>
      </c>
    </row>
    <row r="124" spans="1:3" ht="12.75">
      <c r="A124">
        <v>354</v>
      </c>
      <c r="B124" t="s">
        <v>146</v>
      </c>
      <c r="C124" t="s">
        <v>406</v>
      </c>
    </row>
    <row r="125" spans="1:3" ht="12.75">
      <c r="A125">
        <v>356</v>
      </c>
      <c r="B125" t="s">
        <v>147</v>
      </c>
      <c r="C125" t="s">
        <v>406</v>
      </c>
    </row>
    <row r="126" spans="1:2" ht="12.75">
      <c r="A126">
        <v>357</v>
      </c>
      <c r="B126" t="s">
        <v>148</v>
      </c>
    </row>
    <row r="127" spans="1:3" ht="12.75">
      <c r="A127">
        <v>358</v>
      </c>
      <c r="B127" t="s">
        <v>149</v>
      </c>
      <c r="C127" t="s">
        <v>407</v>
      </c>
    </row>
    <row r="128" spans="1:3" ht="12.75">
      <c r="A128">
        <v>360</v>
      </c>
      <c r="B128" t="s">
        <v>150</v>
      </c>
      <c r="C128" t="s">
        <v>374</v>
      </c>
    </row>
    <row r="129" spans="1:3" ht="12.75">
      <c r="A129" t="s">
        <v>151</v>
      </c>
      <c r="B129" t="s">
        <v>152</v>
      </c>
      <c r="C129" t="s">
        <v>422</v>
      </c>
    </row>
    <row r="130" spans="1:3" ht="12.75">
      <c r="A130">
        <v>366</v>
      </c>
      <c r="B130" t="s">
        <v>153</v>
      </c>
      <c r="C130" t="s">
        <v>402</v>
      </c>
    </row>
    <row r="131" spans="1:3" ht="12.75">
      <c r="A131">
        <v>367</v>
      </c>
      <c r="B131" t="s">
        <v>154</v>
      </c>
      <c r="C131" t="s">
        <v>407</v>
      </c>
    </row>
    <row r="132" spans="1:3" ht="12.75">
      <c r="A132">
        <v>369</v>
      </c>
      <c r="B132" t="s">
        <v>155</v>
      </c>
      <c r="C132" t="s">
        <v>404</v>
      </c>
    </row>
    <row r="133" spans="1:2" ht="12.75">
      <c r="A133">
        <v>376</v>
      </c>
      <c r="B133" t="s">
        <v>156</v>
      </c>
    </row>
    <row r="134" spans="1:3" ht="12.75">
      <c r="A134">
        <v>501</v>
      </c>
      <c r="B134" t="s">
        <v>157</v>
      </c>
      <c r="C134" t="s">
        <v>413</v>
      </c>
    </row>
    <row r="135" spans="1:3" ht="12.75">
      <c r="A135">
        <v>502</v>
      </c>
      <c r="B135" t="s">
        <v>158</v>
      </c>
      <c r="C135" t="s">
        <v>413</v>
      </c>
    </row>
    <row r="136" spans="1:3" ht="12.75">
      <c r="A136">
        <v>503</v>
      </c>
      <c r="B136" t="s">
        <v>159</v>
      </c>
      <c r="C136" t="s">
        <v>411</v>
      </c>
    </row>
    <row r="137" spans="1:3" ht="12.75">
      <c r="A137">
        <v>504</v>
      </c>
      <c r="B137" t="s">
        <v>160</v>
      </c>
      <c r="C137" t="s">
        <v>420</v>
      </c>
    </row>
    <row r="138" spans="1:3" ht="12.75">
      <c r="A138">
        <v>505</v>
      </c>
      <c r="B138" t="s">
        <v>161</v>
      </c>
      <c r="C138" t="s">
        <v>403</v>
      </c>
    </row>
    <row r="139" spans="1:3" ht="12.75">
      <c r="A139">
        <v>506</v>
      </c>
      <c r="B139" t="s">
        <v>162</v>
      </c>
      <c r="C139" t="s">
        <v>405</v>
      </c>
    </row>
    <row r="140" spans="1:3" ht="12.75">
      <c r="A140">
        <v>507</v>
      </c>
      <c r="B140" t="s">
        <v>163</v>
      </c>
      <c r="C140" t="s">
        <v>405</v>
      </c>
    </row>
    <row r="141" spans="1:2" ht="12.75">
      <c r="A141">
        <v>508</v>
      </c>
      <c r="B141" t="s">
        <v>164</v>
      </c>
    </row>
    <row r="142" spans="1:2" ht="12.75">
      <c r="A142" t="s">
        <v>165</v>
      </c>
      <c r="B142" t="s">
        <v>166</v>
      </c>
    </row>
    <row r="143" spans="1:3" ht="12.75">
      <c r="A143">
        <v>509</v>
      </c>
      <c r="B143" t="s">
        <v>167</v>
      </c>
      <c r="C143" t="s">
        <v>405</v>
      </c>
    </row>
    <row r="144" spans="1:3" ht="12.75">
      <c r="A144">
        <v>510</v>
      </c>
      <c r="B144" t="s">
        <v>168</v>
      </c>
      <c r="C144" t="s">
        <v>402</v>
      </c>
    </row>
    <row r="145" spans="1:3" ht="12.75">
      <c r="A145">
        <v>511</v>
      </c>
      <c r="B145" t="s">
        <v>169</v>
      </c>
      <c r="C145" t="s">
        <v>399</v>
      </c>
    </row>
    <row r="146" spans="1:3" ht="12.75">
      <c r="A146">
        <v>512</v>
      </c>
      <c r="B146" t="s">
        <v>170</v>
      </c>
      <c r="C146" t="s">
        <v>413</v>
      </c>
    </row>
    <row r="147" spans="1:3" ht="12.75">
      <c r="A147" t="s">
        <v>171</v>
      </c>
      <c r="B147" t="s">
        <v>172</v>
      </c>
      <c r="C147" t="s">
        <v>374</v>
      </c>
    </row>
    <row r="148" spans="1:3" ht="12.75">
      <c r="A148">
        <v>513</v>
      </c>
      <c r="B148" t="s">
        <v>173</v>
      </c>
      <c r="C148" t="s">
        <v>409</v>
      </c>
    </row>
    <row r="149" spans="1:3" ht="12.75">
      <c r="A149">
        <v>514</v>
      </c>
      <c r="B149" t="s">
        <v>174</v>
      </c>
      <c r="C149" t="s">
        <v>402</v>
      </c>
    </row>
    <row r="150" spans="1:3" ht="12.75">
      <c r="A150">
        <v>515</v>
      </c>
      <c r="B150" t="s">
        <v>175</v>
      </c>
      <c r="C150" t="s">
        <v>415</v>
      </c>
    </row>
    <row r="151" spans="1:3" ht="12.75">
      <c r="A151">
        <v>516</v>
      </c>
      <c r="B151" t="s">
        <v>176</v>
      </c>
      <c r="C151" t="s">
        <v>374</v>
      </c>
    </row>
    <row r="152" spans="1:3" ht="12.75">
      <c r="A152">
        <v>517</v>
      </c>
      <c r="B152" t="s">
        <v>177</v>
      </c>
      <c r="C152" t="s">
        <v>425</v>
      </c>
    </row>
    <row r="153" spans="1:3" ht="12.75">
      <c r="A153">
        <v>518</v>
      </c>
      <c r="B153" t="s">
        <v>178</v>
      </c>
      <c r="C153" t="s">
        <v>415</v>
      </c>
    </row>
    <row r="154" spans="1:3" ht="12.75">
      <c r="A154">
        <v>519</v>
      </c>
      <c r="B154" t="s">
        <v>179</v>
      </c>
      <c r="C154" t="s">
        <v>414</v>
      </c>
    </row>
    <row r="155" spans="1:3" ht="12.75">
      <c r="A155">
        <v>520</v>
      </c>
      <c r="B155" t="s">
        <v>180</v>
      </c>
      <c r="C155" t="s">
        <v>409</v>
      </c>
    </row>
    <row r="156" spans="1:2" ht="12.75">
      <c r="A156">
        <v>522</v>
      </c>
      <c r="B156" t="s">
        <v>181</v>
      </c>
    </row>
    <row r="157" spans="1:2" ht="12.75">
      <c r="A157">
        <v>523</v>
      </c>
      <c r="B157" t="s">
        <v>182</v>
      </c>
    </row>
    <row r="158" spans="1:3" ht="12.75">
      <c r="A158">
        <v>526</v>
      </c>
      <c r="B158" t="s">
        <v>183</v>
      </c>
      <c r="C158" t="s">
        <v>425</v>
      </c>
    </row>
    <row r="159" spans="1:3" ht="12.75">
      <c r="A159">
        <v>527</v>
      </c>
      <c r="B159" t="s">
        <v>184</v>
      </c>
      <c r="C159" t="s">
        <v>404</v>
      </c>
    </row>
    <row r="160" spans="1:3" ht="12.75">
      <c r="A160">
        <v>531</v>
      </c>
      <c r="B160" t="s">
        <v>185</v>
      </c>
      <c r="C160" t="s">
        <v>406</v>
      </c>
    </row>
    <row r="161" spans="1:2" ht="12.75">
      <c r="A161">
        <v>535</v>
      </c>
      <c r="B161" t="s">
        <v>186</v>
      </c>
    </row>
    <row r="162" spans="1:3" ht="12.75">
      <c r="A162">
        <v>536</v>
      </c>
      <c r="B162" t="s">
        <v>187</v>
      </c>
      <c r="C162" t="s">
        <v>406</v>
      </c>
    </row>
    <row r="163" spans="1:3" ht="12.75">
      <c r="A163">
        <v>539</v>
      </c>
      <c r="B163" t="s">
        <v>188</v>
      </c>
      <c r="C163" t="s">
        <v>407</v>
      </c>
    </row>
    <row r="164" spans="1:3" ht="12.75">
      <c r="A164">
        <v>540</v>
      </c>
      <c r="B164" t="s">
        <v>189</v>
      </c>
      <c r="C164" t="s">
        <v>413</v>
      </c>
    </row>
    <row r="165" spans="1:2" ht="12.75">
      <c r="A165">
        <v>541</v>
      </c>
      <c r="B165" t="s">
        <v>190</v>
      </c>
    </row>
    <row r="166" spans="1:2" ht="12.75">
      <c r="A166" t="s">
        <v>191</v>
      </c>
      <c r="B166" t="s">
        <v>192</v>
      </c>
    </row>
    <row r="167" spans="1:2" ht="12.75">
      <c r="A167">
        <v>542</v>
      </c>
      <c r="B167" t="s">
        <v>193</v>
      </c>
    </row>
    <row r="168" spans="1:3" ht="12.75">
      <c r="A168">
        <v>543</v>
      </c>
      <c r="B168" t="s">
        <v>194</v>
      </c>
      <c r="C168" t="s">
        <v>402</v>
      </c>
    </row>
    <row r="169" spans="1:3" ht="12.75">
      <c r="A169">
        <v>544</v>
      </c>
      <c r="B169" t="s">
        <v>195</v>
      </c>
      <c r="C169" t="s">
        <v>414</v>
      </c>
    </row>
    <row r="170" spans="1:3" ht="12.75">
      <c r="A170">
        <v>545</v>
      </c>
      <c r="B170" t="s">
        <v>196</v>
      </c>
      <c r="C170" t="s">
        <v>374</v>
      </c>
    </row>
    <row r="171" spans="1:3" ht="12.75">
      <c r="A171">
        <v>548</v>
      </c>
      <c r="B171" t="s">
        <v>197</v>
      </c>
      <c r="C171" t="s">
        <v>419</v>
      </c>
    </row>
    <row r="172" spans="1:3" ht="12.75">
      <c r="A172">
        <v>550</v>
      </c>
      <c r="B172" t="s">
        <v>198</v>
      </c>
      <c r="C172" t="s">
        <v>374</v>
      </c>
    </row>
    <row r="173" spans="1:2" ht="12.75">
      <c r="A173">
        <v>551</v>
      </c>
      <c r="B173" t="s">
        <v>199</v>
      </c>
    </row>
    <row r="174" spans="1:3" ht="12.75">
      <c r="A174">
        <v>552</v>
      </c>
      <c r="B174" t="s">
        <v>200</v>
      </c>
      <c r="C174" t="s">
        <v>374</v>
      </c>
    </row>
    <row r="175" spans="1:3" ht="12.75">
      <c r="A175">
        <v>557</v>
      </c>
      <c r="B175" t="s">
        <v>201</v>
      </c>
      <c r="C175" t="s">
        <v>406</v>
      </c>
    </row>
    <row r="176" spans="1:2" ht="12.75">
      <c r="A176">
        <v>559</v>
      </c>
      <c r="B176" t="s">
        <v>202</v>
      </c>
    </row>
    <row r="177" spans="1:3" ht="12.75">
      <c r="A177">
        <v>560</v>
      </c>
      <c r="B177" t="s">
        <v>203</v>
      </c>
      <c r="C177" t="s">
        <v>411</v>
      </c>
    </row>
    <row r="178" spans="1:3" ht="12.75">
      <c r="A178">
        <v>561</v>
      </c>
      <c r="B178" t="s">
        <v>204</v>
      </c>
      <c r="C178" t="s">
        <v>425</v>
      </c>
    </row>
    <row r="179" spans="1:3" ht="12.75">
      <c r="A179">
        <v>564</v>
      </c>
      <c r="B179" t="s">
        <v>205</v>
      </c>
      <c r="C179" t="s">
        <v>406</v>
      </c>
    </row>
    <row r="180" spans="1:3" ht="12.75">
      <c r="A180">
        <v>565</v>
      </c>
      <c r="B180" t="s">
        <v>206</v>
      </c>
      <c r="C180" t="s">
        <v>425</v>
      </c>
    </row>
    <row r="181" spans="1:3" ht="12.75">
      <c r="A181">
        <v>569</v>
      </c>
      <c r="B181" t="s">
        <v>207</v>
      </c>
      <c r="C181" t="s">
        <v>402</v>
      </c>
    </row>
    <row r="182" spans="1:2" ht="12.75">
      <c r="A182">
        <v>570</v>
      </c>
      <c r="B182" t="s">
        <v>208</v>
      </c>
    </row>
    <row r="183" spans="1:2" ht="12.75">
      <c r="A183">
        <v>572</v>
      </c>
      <c r="B183" t="s">
        <v>209</v>
      </c>
    </row>
    <row r="184" spans="1:3" ht="12.75">
      <c r="A184">
        <v>573</v>
      </c>
      <c r="B184" t="s">
        <v>210</v>
      </c>
      <c r="C184" t="s">
        <v>374</v>
      </c>
    </row>
    <row r="185" spans="1:3" ht="12.75">
      <c r="A185">
        <v>576</v>
      </c>
      <c r="B185" t="s">
        <v>211</v>
      </c>
      <c r="C185" t="s">
        <v>402</v>
      </c>
    </row>
    <row r="186" spans="1:3" ht="12.75">
      <c r="A186">
        <v>577</v>
      </c>
      <c r="B186" t="s">
        <v>212</v>
      </c>
      <c r="C186" t="s">
        <v>407</v>
      </c>
    </row>
    <row r="187" spans="1:3" ht="12.75">
      <c r="A187">
        <v>578</v>
      </c>
      <c r="B187" t="s">
        <v>213</v>
      </c>
      <c r="C187" t="s">
        <v>406</v>
      </c>
    </row>
    <row r="188" spans="1:2" ht="12.75">
      <c r="A188">
        <v>601</v>
      </c>
      <c r="B188" t="s">
        <v>214</v>
      </c>
    </row>
    <row r="189" spans="1:3" ht="12.75">
      <c r="A189">
        <v>602</v>
      </c>
      <c r="B189" t="s">
        <v>215</v>
      </c>
      <c r="C189" t="s">
        <v>396</v>
      </c>
    </row>
    <row r="190" spans="1:3" ht="12.75">
      <c r="A190">
        <v>604</v>
      </c>
      <c r="B190" t="s">
        <v>216</v>
      </c>
      <c r="C190" t="s">
        <v>417</v>
      </c>
    </row>
    <row r="191" spans="1:3" ht="12.75">
      <c r="A191">
        <v>605</v>
      </c>
      <c r="B191" t="s">
        <v>217</v>
      </c>
      <c r="C191" t="s">
        <v>392</v>
      </c>
    </row>
    <row r="192" spans="1:3" ht="12.75">
      <c r="A192">
        <v>606</v>
      </c>
      <c r="B192" t="s">
        <v>218</v>
      </c>
      <c r="C192" t="s">
        <v>393</v>
      </c>
    </row>
    <row r="193" spans="1:3" ht="12.75">
      <c r="A193">
        <v>607</v>
      </c>
      <c r="B193" t="s">
        <v>219</v>
      </c>
      <c r="C193" t="s">
        <v>400</v>
      </c>
    </row>
    <row r="194" spans="1:3" ht="12.75">
      <c r="A194">
        <v>608</v>
      </c>
      <c r="B194" t="s">
        <v>220</v>
      </c>
      <c r="C194" t="s">
        <v>399</v>
      </c>
    </row>
    <row r="195" spans="1:3" ht="12.75">
      <c r="A195">
        <v>609</v>
      </c>
      <c r="B195" t="s">
        <v>221</v>
      </c>
      <c r="C195" t="s">
        <v>374</v>
      </c>
    </row>
    <row r="196" spans="1:3" ht="12.75">
      <c r="A196">
        <v>611</v>
      </c>
      <c r="B196" t="s">
        <v>222</v>
      </c>
      <c r="C196" t="s">
        <v>396</v>
      </c>
    </row>
    <row r="197" spans="1:3" ht="12.75">
      <c r="A197">
        <v>612</v>
      </c>
      <c r="B197" t="s">
        <v>223</v>
      </c>
      <c r="C197" t="s">
        <v>398</v>
      </c>
    </row>
    <row r="198" spans="1:3" ht="12.75">
      <c r="A198">
        <v>613</v>
      </c>
      <c r="B198" t="s">
        <v>224</v>
      </c>
      <c r="C198" t="s">
        <v>397</v>
      </c>
    </row>
    <row r="199" spans="1:3" ht="12.75">
      <c r="A199">
        <v>614</v>
      </c>
      <c r="B199" t="s">
        <v>225</v>
      </c>
      <c r="C199" t="s">
        <v>400</v>
      </c>
    </row>
    <row r="200" spans="1:3" ht="12.75">
      <c r="A200">
        <v>615</v>
      </c>
      <c r="B200" t="s">
        <v>226</v>
      </c>
      <c r="C200" t="s">
        <v>400</v>
      </c>
    </row>
    <row r="201" spans="1:3" ht="12.75">
      <c r="A201" t="s">
        <v>227</v>
      </c>
      <c r="B201" t="s">
        <v>228</v>
      </c>
      <c r="C201" t="s">
        <v>400</v>
      </c>
    </row>
    <row r="202" spans="1:3" ht="12.75">
      <c r="A202">
        <v>640</v>
      </c>
      <c r="B202" t="s">
        <v>229</v>
      </c>
      <c r="C202" t="s">
        <v>374</v>
      </c>
    </row>
    <row r="203" spans="1:3" ht="12.75">
      <c r="A203" t="s">
        <v>230</v>
      </c>
      <c r="B203" t="s">
        <v>231</v>
      </c>
      <c r="C203" t="s">
        <v>429</v>
      </c>
    </row>
    <row r="204" spans="1:3" ht="12.75">
      <c r="A204">
        <v>649</v>
      </c>
      <c r="B204" t="s">
        <v>232</v>
      </c>
      <c r="C204" t="s">
        <v>377</v>
      </c>
    </row>
    <row r="205" spans="1:3" ht="12.75">
      <c r="A205">
        <v>650</v>
      </c>
      <c r="B205" t="s">
        <v>233</v>
      </c>
      <c r="C205" t="s">
        <v>433</v>
      </c>
    </row>
    <row r="206" spans="1:3" ht="12.75">
      <c r="A206">
        <v>654</v>
      </c>
      <c r="B206" t="s">
        <v>234</v>
      </c>
      <c r="C206" t="s">
        <v>433</v>
      </c>
    </row>
    <row r="207" spans="1:2" ht="12.75">
      <c r="A207">
        <v>670</v>
      </c>
      <c r="B207" t="s">
        <v>235</v>
      </c>
    </row>
    <row r="208" spans="1:2" ht="12.75">
      <c r="A208">
        <v>700</v>
      </c>
      <c r="B208" t="s">
        <v>236</v>
      </c>
    </row>
    <row r="209" spans="1:2" ht="12.75">
      <c r="A209">
        <v>701</v>
      </c>
      <c r="B209" t="s">
        <v>237</v>
      </c>
    </row>
    <row r="210" spans="1:3" ht="12.75">
      <c r="A210" t="s">
        <v>238</v>
      </c>
      <c r="B210" t="s">
        <v>239</v>
      </c>
      <c r="C210" t="s">
        <v>374</v>
      </c>
    </row>
    <row r="211" spans="1:3" ht="12.75">
      <c r="A211" t="s">
        <v>240</v>
      </c>
      <c r="B211" t="s">
        <v>241</v>
      </c>
      <c r="C211" t="s">
        <v>428</v>
      </c>
    </row>
    <row r="212" spans="1:3" ht="12.75">
      <c r="A212" t="s">
        <v>242</v>
      </c>
      <c r="B212" t="s">
        <v>243</v>
      </c>
      <c r="C212" t="s">
        <v>428</v>
      </c>
    </row>
    <row r="213" spans="1:2" ht="12.75">
      <c r="A213" t="s">
        <v>244</v>
      </c>
      <c r="B213" t="s">
        <v>245</v>
      </c>
    </row>
    <row r="214" spans="1:2" ht="12.75">
      <c r="A214" t="s">
        <v>246</v>
      </c>
      <c r="B214" t="s">
        <v>247</v>
      </c>
    </row>
    <row r="215" spans="1:3" ht="12.75">
      <c r="A215" t="s">
        <v>248</v>
      </c>
      <c r="B215" t="s">
        <v>249</v>
      </c>
      <c r="C215" t="s">
        <v>425</v>
      </c>
    </row>
    <row r="216" spans="1:3" ht="12.75">
      <c r="A216" t="s">
        <v>250</v>
      </c>
      <c r="B216" t="s">
        <v>251</v>
      </c>
      <c r="C216" t="s">
        <v>425</v>
      </c>
    </row>
    <row r="217" spans="1:3" ht="12.75">
      <c r="A217" t="s">
        <v>252</v>
      </c>
      <c r="B217" t="s">
        <v>253</v>
      </c>
      <c r="C217" t="s">
        <v>385</v>
      </c>
    </row>
    <row r="218" spans="1:3" ht="12.75">
      <c r="A218" t="s">
        <v>254</v>
      </c>
      <c r="B218" t="s">
        <v>255</v>
      </c>
      <c r="C218" t="s">
        <v>374</v>
      </c>
    </row>
    <row r="219" spans="1:3" ht="12.75">
      <c r="A219" t="s">
        <v>256</v>
      </c>
      <c r="B219" t="s">
        <v>257</v>
      </c>
      <c r="C219" t="s">
        <v>374</v>
      </c>
    </row>
    <row r="220" spans="1:3" ht="12.75">
      <c r="A220" t="s">
        <v>258</v>
      </c>
      <c r="B220" t="s">
        <v>259</v>
      </c>
      <c r="C220" t="s">
        <v>374</v>
      </c>
    </row>
    <row r="221" spans="1:3" ht="12.75">
      <c r="A221" t="s">
        <v>260</v>
      </c>
      <c r="B221" t="s">
        <v>261</v>
      </c>
      <c r="C221" t="s">
        <v>385</v>
      </c>
    </row>
    <row r="222" spans="1:3" ht="12.75">
      <c r="A222" t="s">
        <v>262</v>
      </c>
      <c r="B222" t="s">
        <v>263</v>
      </c>
      <c r="C222" t="s">
        <v>374</v>
      </c>
    </row>
    <row r="223" spans="1:3" ht="12.75">
      <c r="A223" t="s">
        <v>264</v>
      </c>
      <c r="B223" t="s">
        <v>265</v>
      </c>
      <c r="C223" t="s">
        <v>374</v>
      </c>
    </row>
    <row r="224" spans="1:3" ht="12.75">
      <c r="A224" t="s">
        <v>266</v>
      </c>
      <c r="B224" t="s">
        <v>267</v>
      </c>
      <c r="C224" t="s">
        <v>374</v>
      </c>
    </row>
    <row r="225" spans="1:3" ht="12.75">
      <c r="A225" t="s">
        <v>268</v>
      </c>
      <c r="B225" t="s">
        <v>269</v>
      </c>
      <c r="C225" t="s">
        <v>385</v>
      </c>
    </row>
    <row r="226" spans="1:3" ht="12.75">
      <c r="A226" t="s">
        <v>270</v>
      </c>
      <c r="B226" t="s">
        <v>271</v>
      </c>
      <c r="C226" t="s">
        <v>385</v>
      </c>
    </row>
    <row r="227" spans="1:3" ht="12.75">
      <c r="A227" t="s">
        <v>272</v>
      </c>
      <c r="B227" t="s">
        <v>273</v>
      </c>
      <c r="C227" t="s">
        <v>425</v>
      </c>
    </row>
    <row r="228" spans="1:3" ht="12.75">
      <c r="A228" t="s">
        <v>274</v>
      </c>
      <c r="B228" t="s">
        <v>275</v>
      </c>
      <c r="C228" t="s">
        <v>374</v>
      </c>
    </row>
    <row r="229" spans="1:3" ht="12.75">
      <c r="A229" t="s">
        <v>276</v>
      </c>
      <c r="B229" t="s">
        <v>277</v>
      </c>
      <c r="C229" t="s">
        <v>374</v>
      </c>
    </row>
    <row r="230" spans="1:3" ht="12.75">
      <c r="A230" t="s">
        <v>278</v>
      </c>
      <c r="B230" t="s">
        <v>279</v>
      </c>
      <c r="C230" t="s">
        <v>374</v>
      </c>
    </row>
    <row r="231" spans="1:3" ht="12.75">
      <c r="A231" t="s">
        <v>280</v>
      </c>
      <c r="B231" t="s">
        <v>281</v>
      </c>
      <c r="C231" t="s">
        <v>374</v>
      </c>
    </row>
    <row r="232" spans="1:3" ht="12.75">
      <c r="A232" t="s">
        <v>282</v>
      </c>
      <c r="B232" t="s">
        <v>283</v>
      </c>
      <c r="C232" t="s">
        <v>374</v>
      </c>
    </row>
    <row r="233" spans="1:3" ht="12.75">
      <c r="A233" t="s">
        <v>284</v>
      </c>
      <c r="B233" t="s">
        <v>285</v>
      </c>
      <c r="C233" t="s">
        <v>407</v>
      </c>
    </row>
    <row r="234" spans="1:3" ht="12.75">
      <c r="A234" t="s">
        <v>286</v>
      </c>
      <c r="B234" t="s">
        <v>287</v>
      </c>
      <c r="C234" t="s">
        <v>374</v>
      </c>
    </row>
    <row r="235" spans="1:3" ht="12.75">
      <c r="A235" t="s">
        <v>288</v>
      </c>
      <c r="B235" t="s">
        <v>289</v>
      </c>
      <c r="C235" t="s">
        <v>407</v>
      </c>
    </row>
    <row r="236" spans="1:3" ht="12.75">
      <c r="A236" t="s">
        <v>290</v>
      </c>
      <c r="B236" t="s">
        <v>291</v>
      </c>
      <c r="C236" t="s">
        <v>407</v>
      </c>
    </row>
    <row r="237" spans="1:3" ht="12.75">
      <c r="A237" t="s">
        <v>292</v>
      </c>
      <c r="B237" t="s">
        <v>293</v>
      </c>
      <c r="C237" t="s">
        <v>374</v>
      </c>
    </row>
    <row r="238" spans="1:2" ht="12.75">
      <c r="A238" t="s">
        <v>294</v>
      </c>
      <c r="B238" t="s">
        <v>295</v>
      </c>
    </row>
    <row r="239" spans="1:3" ht="12.75">
      <c r="A239" t="s">
        <v>296</v>
      </c>
      <c r="B239" t="s">
        <v>297</v>
      </c>
      <c r="C239" t="s">
        <v>434</v>
      </c>
    </row>
    <row r="240" spans="1:3" ht="12.75">
      <c r="A240" t="s">
        <v>298</v>
      </c>
      <c r="B240" t="s">
        <v>299</v>
      </c>
      <c r="C240" t="s">
        <v>434</v>
      </c>
    </row>
    <row r="241" spans="1:3" ht="12.75">
      <c r="A241" t="s">
        <v>300</v>
      </c>
      <c r="B241" t="s">
        <v>301</v>
      </c>
      <c r="C241" t="s">
        <v>434</v>
      </c>
    </row>
    <row r="242" spans="1:3" ht="12.75">
      <c r="A242" t="s">
        <v>302</v>
      </c>
      <c r="B242" t="s">
        <v>303</v>
      </c>
      <c r="C242" t="s">
        <v>434</v>
      </c>
    </row>
    <row r="243" spans="1:3" ht="12.75">
      <c r="A243" t="s">
        <v>304</v>
      </c>
      <c r="B243" t="s">
        <v>305</v>
      </c>
      <c r="C243" t="s">
        <v>434</v>
      </c>
    </row>
    <row r="244" spans="1:3" ht="12.75">
      <c r="A244" t="s">
        <v>306</v>
      </c>
      <c r="B244" t="s">
        <v>307</v>
      </c>
      <c r="C244" t="s">
        <v>434</v>
      </c>
    </row>
    <row r="245" spans="1:3" ht="12.75">
      <c r="A245" t="s">
        <v>308</v>
      </c>
      <c r="B245" t="s">
        <v>309</v>
      </c>
      <c r="C245" t="s">
        <v>434</v>
      </c>
    </row>
    <row r="246" spans="1:3" ht="12.75">
      <c r="A246" t="s">
        <v>310</v>
      </c>
      <c r="B246" t="s">
        <v>311</v>
      </c>
      <c r="C246" t="s">
        <v>434</v>
      </c>
    </row>
    <row r="247" spans="1:3" ht="12.75">
      <c r="A247" t="s">
        <v>312</v>
      </c>
      <c r="B247" t="s">
        <v>313</v>
      </c>
      <c r="C247" t="s">
        <v>434</v>
      </c>
    </row>
    <row r="248" spans="1:3" ht="12.75">
      <c r="A248" t="s">
        <v>314</v>
      </c>
      <c r="B248" t="s">
        <v>315</v>
      </c>
      <c r="C248" t="s">
        <v>434</v>
      </c>
    </row>
    <row r="249" spans="1:3" ht="12.75">
      <c r="A249" t="s">
        <v>316</v>
      </c>
      <c r="B249" t="s">
        <v>317</v>
      </c>
      <c r="C249" t="s">
        <v>434</v>
      </c>
    </row>
    <row r="250" spans="1:3" ht="12.75">
      <c r="A250" t="s">
        <v>318</v>
      </c>
      <c r="B250" t="s">
        <v>319</v>
      </c>
      <c r="C250" t="s">
        <v>434</v>
      </c>
    </row>
    <row r="251" spans="1:3" ht="12.75">
      <c r="A251" t="s">
        <v>320</v>
      </c>
      <c r="B251" t="s">
        <v>321</v>
      </c>
      <c r="C251" t="s">
        <v>434</v>
      </c>
    </row>
    <row r="252" spans="1:3" ht="12.75">
      <c r="A252" t="s">
        <v>322</v>
      </c>
      <c r="B252" t="s">
        <v>323</v>
      </c>
      <c r="C252" t="s">
        <v>434</v>
      </c>
    </row>
    <row r="253" spans="1:3" ht="12.75">
      <c r="A253" t="s">
        <v>324</v>
      </c>
      <c r="B253" t="s">
        <v>325</v>
      </c>
      <c r="C253" t="s">
        <v>434</v>
      </c>
    </row>
    <row r="254" spans="1:3" ht="12.75">
      <c r="A254" t="s">
        <v>326</v>
      </c>
      <c r="B254" t="s">
        <v>327</v>
      </c>
      <c r="C254" t="s">
        <v>434</v>
      </c>
    </row>
    <row r="255" spans="1:3" ht="12.75">
      <c r="A255" t="s">
        <v>328</v>
      </c>
      <c r="B255" t="s">
        <v>329</v>
      </c>
      <c r="C255" t="s">
        <v>434</v>
      </c>
    </row>
    <row r="256" spans="1:3" ht="12.75">
      <c r="A256" t="s">
        <v>330</v>
      </c>
      <c r="B256" t="s">
        <v>331</v>
      </c>
      <c r="C256" t="s">
        <v>434</v>
      </c>
    </row>
    <row r="257" spans="1:3" ht="12.75">
      <c r="A257" t="s">
        <v>332</v>
      </c>
      <c r="B257" t="s">
        <v>333</v>
      </c>
      <c r="C257" t="s">
        <v>434</v>
      </c>
    </row>
    <row r="258" spans="1:3" ht="12.75">
      <c r="A258" t="s">
        <v>334</v>
      </c>
      <c r="B258" t="s">
        <v>335</v>
      </c>
      <c r="C258" t="s">
        <v>434</v>
      </c>
    </row>
    <row r="259" spans="1:3" ht="12.75">
      <c r="A259" t="s">
        <v>336</v>
      </c>
      <c r="B259" t="s">
        <v>337</v>
      </c>
      <c r="C259" t="s">
        <v>434</v>
      </c>
    </row>
    <row r="260" spans="1:3" ht="12.75">
      <c r="A260" t="s">
        <v>338</v>
      </c>
      <c r="B260" t="s">
        <v>339</v>
      </c>
      <c r="C260" t="s">
        <v>434</v>
      </c>
    </row>
    <row r="261" spans="1:3" ht="12.75">
      <c r="A261" t="s">
        <v>340</v>
      </c>
      <c r="B261" t="s">
        <v>341</v>
      </c>
      <c r="C261" t="s">
        <v>434</v>
      </c>
    </row>
    <row r="262" spans="1:3" ht="12.75">
      <c r="A262" t="s">
        <v>342</v>
      </c>
      <c r="B262" t="s">
        <v>343</v>
      </c>
      <c r="C262" t="s">
        <v>434</v>
      </c>
    </row>
    <row r="263" spans="1:3" ht="12.75">
      <c r="A263" t="s">
        <v>344</v>
      </c>
      <c r="B263" t="s">
        <v>345</v>
      </c>
      <c r="C263" t="s">
        <v>434</v>
      </c>
    </row>
    <row r="264" spans="1:3" ht="12.75">
      <c r="A264" t="s">
        <v>346</v>
      </c>
      <c r="B264" t="s">
        <v>347</v>
      </c>
      <c r="C264" t="s">
        <v>434</v>
      </c>
    </row>
    <row r="265" spans="1:3" ht="12.75">
      <c r="A265" t="s">
        <v>348</v>
      </c>
      <c r="B265" t="s">
        <v>349</v>
      </c>
      <c r="C265" t="s">
        <v>434</v>
      </c>
    </row>
    <row r="266" spans="1:3" ht="12.75">
      <c r="A266" t="s">
        <v>350</v>
      </c>
      <c r="B266" t="s">
        <v>351</v>
      </c>
      <c r="C266" t="s">
        <v>434</v>
      </c>
    </row>
    <row r="267" spans="1:3" ht="12.75">
      <c r="A267" t="s">
        <v>352</v>
      </c>
      <c r="B267" t="s">
        <v>353</v>
      </c>
      <c r="C267" t="s">
        <v>434</v>
      </c>
    </row>
    <row r="268" spans="1:3" ht="12.75">
      <c r="A268" t="s">
        <v>354</v>
      </c>
      <c r="B268" t="s">
        <v>355</v>
      </c>
      <c r="C268" t="s">
        <v>434</v>
      </c>
    </row>
    <row r="269" spans="1:3" ht="12.75">
      <c r="A269" t="s">
        <v>356</v>
      </c>
      <c r="B269" t="s">
        <v>357</v>
      </c>
      <c r="C269" t="s">
        <v>434</v>
      </c>
    </row>
    <row r="270" spans="1:3" ht="12.75">
      <c r="A270" t="s">
        <v>358</v>
      </c>
      <c r="B270" t="s">
        <v>359</v>
      </c>
      <c r="C270" t="s">
        <v>434</v>
      </c>
    </row>
    <row r="271" spans="1:3" ht="12.75">
      <c r="A271" t="s">
        <v>360</v>
      </c>
      <c r="B271" t="s">
        <v>361</v>
      </c>
      <c r="C271" t="s">
        <v>434</v>
      </c>
    </row>
    <row r="272" spans="1:3" ht="12.75">
      <c r="A272" t="s">
        <v>362</v>
      </c>
      <c r="B272" t="s">
        <v>363</v>
      </c>
      <c r="C272" t="s">
        <v>434</v>
      </c>
    </row>
    <row r="273" spans="1:3" ht="12.75">
      <c r="A273" t="s">
        <v>364</v>
      </c>
      <c r="B273" t="s">
        <v>365</v>
      </c>
      <c r="C273" t="s">
        <v>434</v>
      </c>
    </row>
    <row r="274" spans="1:3" ht="12.75">
      <c r="A274" t="s">
        <v>366</v>
      </c>
      <c r="B274" t="s">
        <v>367</v>
      </c>
      <c r="C274" t="s">
        <v>434</v>
      </c>
    </row>
    <row r="275" spans="1:3" ht="12.75">
      <c r="A275" t="s">
        <v>368</v>
      </c>
      <c r="B275" t="s">
        <v>369</v>
      </c>
      <c r="C275" t="s">
        <v>434</v>
      </c>
    </row>
    <row r="276" spans="1:3" ht="12.75">
      <c r="A276" t="s">
        <v>370</v>
      </c>
      <c r="B276" t="s">
        <v>371</v>
      </c>
      <c r="C276" t="s">
        <v>434</v>
      </c>
    </row>
  </sheetData>
  <sheetProtection/>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codeName="Sheet13"/>
  <dimension ref="A1:C276"/>
  <sheetViews>
    <sheetView zoomScalePageLayoutView="0" workbookViewId="0" topLeftCell="A1">
      <selection activeCell="K34" sqref="K34"/>
    </sheetView>
  </sheetViews>
  <sheetFormatPr defaultColWidth="9.140625" defaultRowHeight="12.75"/>
  <cols>
    <col min="1" max="1" width="9.7109375" style="0" bestFit="1" customWidth="1"/>
    <col min="2" max="2" width="31.28125" style="0" bestFit="1" customWidth="1"/>
    <col min="3" max="3" width="36.7109375" style="0" customWidth="1"/>
  </cols>
  <sheetData>
    <row r="1" spans="2:3" ht="12.75">
      <c r="B1" t="s">
        <v>372</v>
      </c>
      <c r="C1" t="s">
        <v>373</v>
      </c>
    </row>
    <row r="2" spans="1:3" ht="12.75">
      <c r="A2">
        <v>200</v>
      </c>
      <c r="B2" t="s">
        <v>87</v>
      </c>
      <c r="C2" t="s">
        <v>373</v>
      </c>
    </row>
    <row r="3" ht="12.75">
      <c r="C3" t="s">
        <v>398</v>
      </c>
    </row>
    <row r="4" spans="1:3" ht="12.75">
      <c r="A4">
        <v>612</v>
      </c>
      <c r="B4" t="s">
        <v>223</v>
      </c>
      <c r="C4" t="s">
        <v>398</v>
      </c>
    </row>
    <row r="5" ht="12.75">
      <c r="C5" t="s">
        <v>399</v>
      </c>
    </row>
    <row r="6" spans="1:3" ht="12.75">
      <c r="A6">
        <v>511</v>
      </c>
      <c r="B6" t="s">
        <v>169</v>
      </c>
      <c r="C6" t="s">
        <v>399</v>
      </c>
    </row>
    <row r="7" spans="1:3" ht="12.75">
      <c r="A7">
        <v>608</v>
      </c>
      <c r="B7" t="s">
        <v>220</v>
      </c>
      <c r="C7" t="s">
        <v>399</v>
      </c>
    </row>
    <row r="8" ht="12.75">
      <c r="C8" t="s">
        <v>400</v>
      </c>
    </row>
    <row r="9" spans="1:3" ht="12.75">
      <c r="A9">
        <v>607</v>
      </c>
      <c r="B9" t="s">
        <v>219</v>
      </c>
      <c r="C9" t="s">
        <v>400</v>
      </c>
    </row>
    <row r="10" spans="1:3" ht="12.75">
      <c r="A10">
        <v>614</v>
      </c>
      <c r="B10" t="s">
        <v>225</v>
      </c>
      <c r="C10" t="s">
        <v>400</v>
      </c>
    </row>
    <row r="11" spans="1:3" ht="12.75">
      <c r="A11">
        <v>615</v>
      </c>
      <c r="B11" t="s">
        <v>226</v>
      </c>
      <c r="C11" t="s">
        <v>400</v>
      </c>
    </row>
    <row r="12" spans="1:3" ht="12.75">
      <c r="A12" t="s">
        <v>227</v>
      </c>
      <c r="B12" t="s">
        <v>228</v>
      </c>
      <c r="C12" t="s">
        <v>400</v>
      </c>
    </row>
    <row r="13" spans="2:3" ht="12.75">
      <c r="B13" t="s">
        <v>401</v>
      </c>
      <c r="C13" t="s">
        <v>402</v>
      </c>
    </row>
    <row r="14" spans="1:3" ht="12.75">
      <c r="A14">
        <v>301</v>
      </c>
      <c r="B14" t="s">
        <v>99</v>
      </c>
      <c r="C14" t="s">
        <v>402</v>
      </c>
    </row>
    <row r="15" spans="1:3" ht="12.75">
      <c r="A15">
        <v>303</v>
      </c>
      <c r="B15" t="s">
        <v>100</v>
      </c>
      <c r="C15" t="s">
        <v>402</v>
      </c>
    </row>
    <row r="16" spans="1:3" ht="12.75">
      <c r="A16" t="s">
        <v>101</v>
      </c>
      <c r="B16" t="s">
        <v>102</v>
      </c>
      <c r="C16" t="s">
        <v>402</v>
      </c>
    </row>
    <row r="17" spans="1:3" ht="12.75">
      <c r="A17">
        <v>304</v>
      </c>
      <c r="B17" t="s">
        <v>103</v>
      </c>
      <c r="C17" t="s">
        <v>402</v>
      </c>
    </row>
    <row r="18" spans="1:3" ht="12.75">
      <c r="A18" t="s">
        <v>104</v>
      </c>
      <c r="B18" t="s">
        <v>105</v>
      </c>
      <c r="C18" t="s">
        <v>402</v>
      </c>
    </row>
    <row r="19" spans="1:3" ht="12.75">
      <c r="A19">
        <v>306</v>
      </c>
      <c r="B19" t="s">
        <v>106</v>
      </c>
      <c r="C19" t="s">
        <v>402</v>
      </c>
    </row>
    <row r="20" spans="1:3" ht="12.75">
      <c r="A20">
        <v>307</v>
      </c>
      <c r="B20" t="s">
        <v>107</v>
      </c>
      <c r="C20" t="s">
        <v>402</v>
      </c>
    </row>
    <row r="21" spans="1:3" ht="12.75">
      <c r="A21">
        <v>308</v>
      </c>
      <c r="B21" t="s">
        <v>108</v>
      </c>
      <c r="C21" t="s">
        <v>402</v>
      </c>
    </row>
    <row r="22" spans="1:3" ht="12.75">
      <c r="A22">
        <v>312</v>
      </c>
      <c r="B22" t="s">
        <v>111</v>
      </c>
      <c r="C22" t="s">
        <v>402</v>
      </c>
    </row>
    <row r="23" spans="1:3" ht="12.75">
      <c r="A23">
        <v>313</v>
      </c>
      <c r="B23" t="s">
        <v>112</v>
      </c>
      <c r="C23" t="s">
        <v>402</v>
      </c>
    </row>
    <row r="24" spans="1:3" ht="12.75">
      <c r="A24">
        <v>314</v>
      </c>
      <c r="B24" t="s">
        <v>113</v>
      </c>
      <c r="C24" t="s">
        <v>402</v>
      </c>
    </row>
    <row r="25" spans="1:3" ht="12.75">
      <c r="A25">
        <v>315</v>
      </c>
      <c r="B25" t="s">
        <v>114</v>
      </c>
      <c r="C25" t="s">
        <v>402</v>
      </c>
    </row>
    <row r="26" spans="1:3" ht="12.75">
      <c r="A26">
        <v>316</v>
      </c>
      <c r="B26" t="s">
        <v>117</v>
      </c>
      <c r="C26" t="s">
        <v>402</v>
      </c>
    </row>
    <row r="27" spans="1:3" ht="12.75">
      <c r="A27">
        <v>317</v>
      </c>
      <c r="B27" t="s">
        <v>118</v>
      </c>
      <c r="C27" t="s">
        <v>402</v>
      </c>
    </row>
    <row r="28" spans="1:3" ht="12.75">
      <c r="A28">
        <v>318</v>
      </c>
      <c r="B28" t="s">
        <v>119</v>
      </c>
      <c r="C28" t="s">
        <v>402</v>
      </c>
    </row>
    <row r="29" spans="1:3" ht="12.75">
      <c r="A29">
        <v>319</v>
      </c>
      <c r="B29" t="s">
        <v>120</v>
      </c>
      <c r="C29" t="s">
        <v>402</v>
      </c>
    </row>
    <row r="30" spans="1:3" ht="12.75">
      <c r="A30">
        <v>320</v>
      </c>
      <c r="B30" t="s">
        <v>121</v>
      </c>
      <c r="C30" t="s">
        <v>402</v>
      </c>
    </row>
    <row r="31" spans="1:3" ht="12.75">
      <c r="A31">
        <v>322</v>
      </c>
      <c r="B31" t="s">
        <v>122</v>
      </c>
      <c r="C31" t="s">
        <v>402</v>
      </c>
    </row>
    <row r="32" spans="1:3" ht="12.75">
      <c r="A32">
        <v>324</v>
      </c>
      <c r="B32" t="s">
        <v>123</v>
      </c>
      <c r="C32" t="s">
        <v>402</v>
      </c>
    </row>
    <row r="33" spans="1:3" ht="12.75">
      <c r="A33">
        <v>325</v>
      </c>
      <c r="B33" t="s">
        <v>124</v>
      </c>
      <c r="C33" t="s">
        <v>402</v>
      </c>
    </row>
    <row r="34" spans="1:3" ht="12.75">
      <c r="A34">
        <v>326</v>
      </c>
      <c r="B34" t="s">
        <v>125</v>
      </c>
      <c r="C34" t="s">
        <v>402</v>
      </c>
    </row>
    <row r="35" spans="1:3" ht="12.75">
      <c r="A35">
        <v>331</v>
      </c>
      <c r="B35" t="s">
        <v>127</v>
      </c>
      <c r="C35" t="s">
        <v>402</v>
      </c>
    </row>
    <row r="36" spans="1:3" ht="12.75">
      <c r="A36">
        <v>333</v>
      </c>
      <c r="B36" t="s">
        <v>131</v>
      </c>
      <c r="C36" t="s">
        <v>402</v>
      </c>
    </row>
    <row r="37" spans="1:3" ht="12.75">
      <c r="A37">
        <v>336</v>
      </c>
      <c r="B37" t="s">
        <v>132</v>
      </c>
      <c r="C37" t="s">
        <v>402</v>
      </c>
    </row>
    <row r="38" spans="1:3" ht="12.75">
      <c r="A38">
        <v>337</v>
      </c>
      <c r="B38" t="s">
        <v>133</v>
      </c>
      <c r="C38" t="s">
        <v>402</v>
      </c>
    </row>
    <row r="39" spans="1:3" ht="12.75">
      <c r="A39">
        <v>338</v>
      </c>
      <c r="B39" t="s">
        <v>134</v>
      </c>
      <c r="C39" t="s">
        <v>402</v>
      </c>
    </row>
    <row r="40" spans="1:3" ht="12.75">
      <c r="A40">
        <v>366</v>
      </c>
      <c r="B40" t="s">
        <v>153</v>
      </c>
      <c r="C40" t="s">
        <v>402</v>
      </c>
    </row>
    <row r="41" spans="1:3" ht="12.75">
      <c r="A41">
        <v>510</v>
      </c>
      <c r="B41" t="s">
        <v>168</v>
      </c>
      <c r="C41" t="s">
        <v>402</v>
      </c>
    </row>
    <row r="42" spans="1:3" ht="12.75">
      <c r="A42">
        <v>514</v>
      </c>
      <c r="B42" t="s">
        <v>174</v>
      </c>
      <c r="C42" t="s">
        <v>402</v>
      </c>
    </row>
    <row r="43" spans="1:3" ht="12.75">
      <c r="A43">
        <v>543</v>
      </c>
      <c r="B43" t="s">
        <v>194</v>
      </c>
      <c r="C43" t="s">
        <v>402</v>
      </c>
    </row>
    <row r="44" spans="1:3" ht="12.75">
      <c r="A44">
        <v>569</v>
      </c>
      <c r="B44" t="s">
        <v>207</v>
      </c>
      <c r="C44" t="s">
        <v>402</v>
      </c>
    </row>
    <row r="45" spans="1:3" ht="12.75">
      <c r="A45">
        <v>576</v>
      </c>
      <c r="B45" t="s">
        <v>211</v>
      </c>
      <c r="C45" t="s">
        <v>402</v>
      </c>
    </row>
    <row r="46" ht="12.75">
      <c r="C46" t="s">
        <v>403</v>
      </c>
    </row>
    <row r="47" spans="1:3" ht="12.75">
      <c r="A47">
        <v>505</v>
      </c>
      <c r="B47" t="s">
        <v>161</v>
      </c>
      <c r="C47" t="s">
        <v>403</v>
      </c>
    </row>
    <row r="48" ht="12.75">
      <c r="C48" t="s">
        <v>404</v>
      </c>
    </row>
    <row r="49" spans="1:3" ht="12.75">
      <c r="A49">
        <v>369</v>
      </c>
      <c r="B49" t="s">
        <v>155</v>
      </c>
      <c r="C49" t="s">
        <v>404</v>
      </c>
    </row>
    <row r="50" spans="1:3" ht="12.75">
      <c r="A50">
        <v>527</v>
      </c>
      <c r="B50" t="s">
        <v>184</v>
      </c>
      <c r="C50" t="s">
        <v>404</v>
      </c>
    </row>
    <row r="51" ht="12.75">
      <c r="C51" t="s">
        <v>432</v>
      </c>
    </row>
    <row r="52" spans="1:3" ht="12.75">
      <c r="A52">
        <v>202</v>
      </c>
      <c r="B52" t="s">
        <v>89</v>
      </c>
      <c r="C52" t="s">
        <v>432</v>
      </c>
    </row>
    <row r="53" ht="12.75">
      <c r="C53" t="s">
        <v>405</v>
      </c>
    </row>
    <row r="54" spans="1:3" ht="12.75">
      <c r="A54">
        <v>340</v>
      </c>
      <c r="B54" t="s">
        <v>135</v>
      </c>
      <c r="C54" t="s">
        <v>405</v>
      </c>
    </row>
    <row r="55" spans="1:3" ht="12.75">
      <c r="A55">
        <v>341</v>
      </c>
      <c r="B55" t="s">
        <v>136</v>
      </c>
      <c r="C55" t="s">
        <v>405</v>
      </c>
    </row>
    <row r="56" spans="1:3" ht="12.75">
      <c r="A56">
        <v>342</v>
      </c>
      <c r="B56" t="s">
        <v>137</v>
      </c>
      <c r="C56" t="s">
        <v>405</v>
      </c>
    </row>
    <row r="57" spans="1:3" ht="12.75">
      <c r="A57">
        <v>343</v>
      </c>
      <c r="B57" t="s">
        <v>138</v>
      </c>
      <c r="C57" t="s">
        <v>405</v>
      </c>
    </row>
    <row r="58" spans="1:3" ht="12.75">
      <c r="A58">
        <v>344</v>
      </c>
      <c r="B58" t="s">
        <v>139</v>
      </c>
      <c r="C58" t="s">
        <v>405</v>
      </c>
    </row>
    <row r="59" spans="1:3" ht="12.75">
      <c r="A59">
        <v>346</v>
      </c>
      <c r="B59" t="s">
        <v>140</v>
      </c>
      <c r="C59" t="s">
        <v>405</v>
      </c>
    </row>
    <row r="60" spans="1:3" ht="12.75">
      <c r="A60">
        <v>349</v>
      </c>
      <c r="B60" t="s">
        <v>142</v>
      </c>
      <c r="C60" t="s">
        <v>405</v>
      </c>
    </row>
    <row r="61" spans="1:3" ht="12.75">
      <c r="A61">
        <v>506</v>
      </c>
      <c r="B61" t="s">
        <v>162</v>
      </c>
      <c r="C61" t="s">
        <v>405</v>
      </c>
    </row>
    <row r="62" spans="1:3" ht="12.75">
      <c r="A62">
        <v>507</v>
      </c>
      <c r="B62" t="s">
        <v>163</v>
      </c>
      <c r="C62" t="s">
        <v>405</v>
      </c>
    </row>
    <row r="63" spans="1:3" ht="12.75">
      <c r="A63">
        <v>509</v>
      </c>
      <c r="B63" t="s">
        <v>167</v>
      </c>
      <c r="C63" t="s">
        <v>405</v>
      </c>
    </row>
    <row r="64" ht="12.75">
      <c r="C64" t="s">
        <v>374</v>
      </c>
    </row>
    <row r="65" spans="1:3" ht="12.75">
      <c r="A65">
        <v>153</v>
      </c>
      <c r="B65" t="s">
        <v>85</v>
      </c>
      <c r="C65" t="s">
        <v>374</v>
      </c>
    </row>
    <row r="66" spans="1:3" ht="12.75">
      <c r="A66">
        <v>201</v>
      </c>
      <c r="B66" t="s">
        <v>88</v>
      </c>
      <c r="C66" t="s">
        <v>374</v>
      </c>
    </row>
    <row r="67" spans="1:3" ht="12.75">
      <c r="A67">
        <v>217</v>
      </c>
      <c r="B67" t="s">
        <v>93</v>
      </c>
      <c r="C67" t="s">
        <v>374</v>
      </c>
    </row>
    <row r="68" spans="1:3" ht="12.75">
      <c r="A68">
        <v>360</v>
      </c>
      <c r="B68" t="s">
        <v>150</v>
      </c>
      <c r="C68" t="s">
        <v>374</v>
      </c>
    </row>
    <row r="69" spans="1:3" ht="12.75">
      <c r="A69" t="s">
        <v>171</v>
      </c>
      <c r="B69" t="s">
        <v>172</v>
      </c>
      <c r="C69" t="s">
        <v>374</v>
      </c>
    </row>
    <row r="70" spans="1:3" ht="12.75">
      <c r="A70">
        <v>516</v>
      </c>
      <c r="B70" t="s">
        <v>176</v>
      </c>
      <c r="C70" t="s">
        <v>374</v>
      </c>
    </row>
    <row r="71" spans="1:3" ht="12.75">
      <c r="A71">
        <v>545</v>
      </c>
      <c r="B71" t="s">
        <v>196</v>
      </c>
      <c r="C71" t="s">
        <v>374</v>
      </c>
    </row>
    <row r="72" spans="1:3" ht="12.75">
      <c r="A72">
        <v>550</v>
      </c>
      <c r="B72" t="s">
        <v>198</v>
      </c>
      <c r="C72" t="s">
        <v>374</v>
      </c>
    </row>
    <row r="73" spans="1:3" ht="12.75">
      <c r="A73">
        <v>552</v>
      </c>
      <c r="B73" t="s">
        <v>200</v>
      </c>
      <c r="C73" t="s">
        <v>374</v>
      </c>
    </row>
    <row r="74" spans="1:3" ht="12.75">
      <c r="A74">
        <v>573</v>
      </c>
      <c r="B74" t="s">
        <v>210</v>
      </c>
      <c r="C74" t="s">
        <v>374</v>
      </c>
    </row>
    <row r="75" spans="1:3" ht="12.75">
      <c r="A75">
        <v>609</v>
      </c>
      <c r="B75" t="s">
        <v>221</v>
      </c>
      <c r="C75" t="s">
        <v>374</v>
      </c>
    </row>
    <row r="76" spans="1:3" ht="12.75">
      <c r="A76">
        <v>640</v>
      </c>
      <c r="B76" t="s">
        <v>229</v>
      </c>
      <c r="C76" t="s">
        <v>374</v>
      </c>
    </row>
    <row r="77" spans="1:3" ht="12.75">
      <c r="A77" t="s">
        <v>238</v>
      </c>
      <c r="B77" t="s">
        <v>239</v>
      </c>
      <c r="C77" t="s">
        <v>374</v>
      </c>
    </row>
    <row r="78" spans="1:3" ht="12.75">
      <c r="A78" t="s">
        <v>254</v>
      </c>
      <c r="B78" t="s">
        <v>255</v>
      </c>
      <c r="C78" t="s">
        <v>374</v>
      </c>
    </row>
    <row r="79" spans="1:3" ht="12.75">
      <c r="A79" t="s">
        <v>256</v>
      </c>
      <c r="B79" t="s">
        <v>257</v>
      </c>
      <c r="C79" t="s">
        <v>374</v>
      </c>
    </row>
    <row r="80" spans="1:3" ht="12.75">
      <c r="A80" t="s">
        <v>258</v>
      </c>
      <c r="B80" t="s">
        <v>259</v>
      </c>
      <c r="C80" t="s">
        <v>374</v>
      </c>
    </row>
    <row r="81" spans="1:3" ht="12.75">
      <c r="A81" t="s">
        <v>262</v>
      </c>
      <c r="B81" t="s">
        <v>263</v>
      </c>
      <c r="C81" t="s">
        <v>374</v>
      </c>
    </row>
    <row r="82" spans="1:3" ht="12.75">
      <c r="A82" t="s">
        <v>264</v>
      </c>
      <c r="B82" t="s">
        <v>265</v>
      </c>
      <c r="C82" t="s">
        <v>374</v>
      </c>
    </row>
    <row r="83" spans="1:3" ht="12.75">
      <c r="A83" t="s">
        <v>266</v>
      </c>
      <c r="B83" t="s">
        <v>267</v>
      </c>
      <c r="C83" t="s">
        <v>374</v>
      </c>
    </row>
    <row r="84" spans="1:3" ht="12.75">
      <c r="A84" t="s">
        <v>274</v>
      </c>
      <c r="B84" t="s">
        <v>275</v>
      </c>
      <c r="C84" t="s">
        <v>374</v>
      </c>
    </row>
    <row r="85" spans="1:3" ht="12.75">
      <c r="A85" t="s">
        <v>276</v>
      </c>
      <c r="B85" t="s">
        <v>277</v>
      </c>
      <c r="C85" t="s">
        <v>374</v>
      </c>
    </row>
    <row r="86" spans="1:3" ht="12.75">
      <c r="A86" t="s">
        <v>278</v>
      </c>
      <c r="B86" t="s">
        <v>279</v>
      </c>
      <c r="C86" t="s">
        <v>374</v>
      </c>
    </row>
    <row r="87" spans="1:3" ht="12.75">
      <c r="A87" t="s">
        <v>280</v>
      </c>
      <c r="B87" t="s">
        <v>281</v>
      </c>
      <c r="C87" t="s">
        <v>374</v>
      </c>
    </row>
    <row r="88" spans="1:3" ht="12.75">
      <c r="A88" t="s">
        <v>282</v>
      </c>
      <c r="B88" t="s">
        <v>283</v>
      </c>
      <c r="C88" t="s">
        <v>374</v>
      </c>
    </row>
    <row r="89" spans="1:3" ht="12.75">
      <c r="A89" t="s">
        <v>286</v>
      </c>
      <c r="B89" t="s">
        <v>287</v>
      </c>
      <c r="C89" t="s">
        <v>374</v>
      </c>
    </row>
    <row r="90" spans="1:3" ht="12.75">
      <c r="A90" t="s">
        <v>292</v>
      </c>
      <c r="B90" t="s">
        <v>293</v>
      </c>
      <c r="C90" t="s">
        <v>374</v>
      </c>
    </row>
    <row r="91" ht="12.75">
      <c r="C91" t="s">
        <v>406</v>
      </c>
    </row>
    <row r="92" spans="1:3" ht="12.75">
      <c r="A92">
        <v>354</v>
      </c>
      <c r="B92" t="s">
        <v>146</v>
      </c>
      <c r="C92" t="s">
        <v>406</v>
      </c>
    </row>
    <row r="93" spans="1:3" ht="12.75">
      <c r="A93">
        <v>356</v>
      </c>
      <c r="B93" t="s">
        <v>147</v>
      </c>
      <c r="C93" t="s">
        <v>406</v>
      </c>
    </row>
    <row r="94" spans="1:3" ht="12.75">
      <c r="A94">
        <v>531</v>
      </c>
      <c r="B94" t="s">
        <v>185</v>
      </c>
      <c r="C94" t="s">
        <v>406</v>
      </c>
    </row>
    <row r="95" spans="1:3" ht="12.75">
      <c r="A95">
        <v>536</v>
      </c>
      <c r="B95" t="s">
        <v>187</v>
      </c>
      <c r="C95" t="s">
        <v>406</v>
      </c>
    </row>
    <row r="96" spans="1:3" ht="12.75">
      <c r="A96">
        <v>557</v>
      </c>
      <c r="B96" t="s">
        <v>201</v>
      </c>
      <c r="C96" t="s">
        <v>406</v>
      </c>
    </row>
    <row r="97" spans="1:3" ht="12.75">
      <c r="A97">
        <v>564</v>
      </c>
      <c r="B97" t="s">
        <v>205</v>
      </c>
      <c r="C97" t="s">
        <v>406</v>
      </c>
    </row>
    <row r="98" spans="1:3" ht="12.75">
      <c r="A98">
        <v>578</v>
      </c>
      <c r="B98" t="s">
        <v>213</v>
      </c>
      <c r="C98" t="s">
        <v>406</v>
      </c>
    </row>
    <row r="99" spans="2:3" ht="12.75">
      <c r="B99" t="s">
        <v>375</v>
      </c>
      <c r="C99" t="s">
        <v>376</v>
      </c>
    </row>
    <row r="100" ht="12.75">
      <c r="C100" t="s">
        <v>407</v>
      </c>
    </row>
    <row r="101" spans="1:3" ht="12.75">
      <c r="A101">
        <v>350</v>
      </c>
      <c r="B101" t="s">
        <v>143</v>
      </c>
      <c r="C101" t="s">
        <v>407</v>
      </c>
    </row>
    <row r="102" spans="1:3" ht="12.75">
      <c r="A102">
        <v>351</v>
      </c>
      <c r="B102" t="s">
        <v>144</v>
      </c>
      <c r="C102" t="s">
        <v>407</v>
      </c>
    </row>
    <row r="103" spans="1:3" ht="12.75">
      <c r="A103">
        <v>358</v>
      </c>
      <c r="B103" t="s">
        <v>149</v>
      </c>
      <c r="C103" t="s">
        <v>407</v>
      </c>
    </row>
    <row r="104" spans="1:3" ht="12.75">
      <c r="A104">
        <v>367</v>
      </c>
      <c r="B104" t="s">
        <v>154</v>
      </c>
      <c r="C104" t="s">
        <v>407</v>
      </c>
    </row>
    <row r="105" spans="1:3" ht="12.75">
      <c r="A105">
        <v>539</v>
      </c>
      <c r="B105" t="s">
        <v>188</v>
      </c>
      <c r="C105" t="s">
        <v>407</v>
      </c>
    </row>
    <row r="106" spans="1:3" ht="12.75">
      <c r="A106">
        <v>577</v>
      </c>
      <c r="B106" t="s">
        <v>212</v>
      </c>
      <c r="C106" t="s">
        <v>407</v>
      </c>
    </row>
    <row r="107" spans="1:3" ht="12.75">
      <c r="A107" t="s">
        <v>284</v>
      </c>
      <c r="B107" t="s">
        <v>285</v>
      </c>
      <c r="C107" t="s">
        <v>407</v>
      </c>
    </row>
    <row r="108" spans="1:3" ht="12.75">
      <c r="A108" t="s">
        <v>288</v>
      </c>
      <c r="B108" t="s">
        <v>289</v>
      </c>
      <c r="C108" t="s">
        <v>407</v>
      </c>
    </row>
    <row r="109" spans="1:3" ht="12.75">
      <c r="A109" t="s">
        <v>290</v>
      </c>
      <c r="B109" t="s">
        <v>291</v>
      </c>
      <c r="C109" t="s">
        <v>407</v>
      </c>
    </row>
    <row r="110" ht="12.75">
      <c r="C110" t="s">
        <v>377</v>
      </c>
    </row>
    <row r="111" spans="1:3" ht="12.75">
      <c r="A111">
        <v>205</v>
      </c>
      <c r="B111" t="s">
        <v>90</v>
      </c>
      <c r="C111" t="s">
        <v>377</v>
      </c>
    </row>
    <row r="112" spans="1:3" ht="12.75">
      <c r="A112">
        <v>250</v>
      </c>
      <c r="B112" t="s">
        <v>96</v>
      </c>
      <c r="C112" t="s">
        <v>377</v>
      </c>
    </row>
    <row r="113" spans="1:3" ht="12.75">
      <c r="A113">
        <v>254</v>
      </c>
      <c r="B113" t="s">
        <v>97</v>
      </c>
      <c r="C113" t="s">
        <v>377</v>
      </c>
    </row>
    <row r="114" spans="1:3" ht="12.75">
      <c r="A114">
        <v>649</v>
      </c>
      <c r="B114" t="s">
        <v>232</v>
      </c>
      <c r="C114" t="s">
        <v>377</v>
      </c>
    </row>
    <row r="115" spans="2:3" ht="12.75">
      <c r="B115" t="s">
        <v>378</v>
      </c>
      <c r="C115" t="s">
        <v>379</v>
      </c>
    </row>
    <row r="116" spans="1:3" ht="12.75">
      <c r="A116">
        <v>107</v>
      </c>
      <c r="B116" t="s">
        <v>70</v>
      </c>
      <c r="C116" t="s">
        <v>379</v>
      </c>
    </row>
    <row r="117" spans="1:3" ht="12.75">
      <c r="A117">
        <v>108</v>
      </c>
      <c r="B117" t="s">
        <v>71</v>
      </c>
      <c r="C117" t="s">
        <v>379</v>
      </c>
    </row>
    <row r="118" spans="1:3" ht="12.75">
      <c r="A118">
        <v>109</v>
      </c>
      <c r="B118" t="s">
        <v>72</v>
      </c>
      <c r="C118" t="s">
        <v>379</v>
      </c>
    </row>
    <row r="119" spans="1:3" ht="12.75">
      <c r="A119">
        <v>112</v>
      </c>
      <c r="B119" t="s">
        <v>73</v>
      </c>
      <c r="C119" t="s">
        <v>379</v>
      </c>
    </row>
    <row r="120" spans="1:3" ht="12.75">
      <c r="A120">
        <v>113</v>
      </c>
      <c r="B120" t="s">
        <v>74</v>
      </c>
      <c r="C120" t="s">
        <v>379</v>
      </c>
    </row>
    <row r="121" ht="12.75">
      <c r="C121" t="s">
        <v>408</v>
      </c>
    </row>
    <row r="122" spans="1:3" ht="12.75">
      <c r="A122">
        <v>348</v>
      </c>
      <c r="B122" t="s">
        <v>141</v>
      </c>
      <c r="C122" s="81" t="s">
        <v>408</v>
      </c>
    </row>
    <row r="123" spans="2:3" ht="12.75">
      <c r="B123" t="s">
        <v>381</v>
      </c>
      <c r="C123" t="s">
        <v>380</v>
      </c>
    </row>
    <row r="124" spans="1:3" ht="12.75">
      <c r="A124">
        <v>150</v>
      </c>
      <c r="B124" t="s">
        <v>83</v>
      </c>
      <c r="C124" t="s">
        <v>380</v>
      </c>
    </row>
    <row r="125" ht="12.75">
      <c r="C125" t="s">
        <v>409</v>
      </c>
    </row>
    <row r="126" spans="1:3" ht="12.75">
      <c r="A126">
        <v>330</v>
      </c>
      <c r="B126" t="s">
        <v>126</v>
      </c>
      <c r="C126" t="s">
        <v>409</v>
      </c>
    </row>
    <row r="127" spans="1:3" ht="12.75">
      <c r="A127">
        <v>513</v>
      </c>
      <c r="B127" t="s">
        <v>173</v>
      </c>
      <c r="C127" t="s">
        <v>409</v>
      </c>
    </row>
    <row r="128" spans="1:3" ht="12.75">
      <c r="A128">
        <v>520</v>
      </c>
      <c r="B128" t="s">
        <v>180</v>
      </c>
      <c r="C128" t="s">
        <v>409</v>
      </c>
    </row>
    <row r="129" ht="12.75">
      <c r="C129" t="s">
        <v>410</v>
      </c>
    </row>
    <row r="130" ht="12.75">
      <c r="C130" t="s">
        <v>382</v>
      </c>
    </row>
    <row r="131" spans="1:3" ht="12.75">
      <c r="A131">
        <v>103</v>
      </c>
      <c r="B131" t="s">
        <v>66</v>
      </c>
      <c r="C131" t="s">
        <v>382</v>
      </c>
    </row>
    <row r="132" spans="1:3" ht="12.75">
      <c r="A132">
        <v>106</v>
      </c>
      <c r="B132" t="s">
        <v>69</v>
      </c>
      <c r="C132" t="s">
        <v>382</v>
      </c>
    </row>
    <row r="133" spans="1:3" ht="12.75">
      <c r="A133">
        <v>114</v>
      </c>
      <c r="B133" t="s">
        <v>75</v>
      </c>
      <c r="C133" t="s">
        <v>382</v>
      </c>
    </row>
    <row r="134" spans="1:3" ht="12.75">
      <c r="A134">
        <v>115</v>
      </c>
      <c r="B134" t="s">
        <v>76</v>
      </c>
      <c r="C134" t="s">
        <v>382</v>
      </c>
    </row>
    <row r="135" spans="1:3" ht="12.75">
      <c r="A135">
        <v>117</v>
      </c>
      <c r="B135" t="s">
        <v>78</v>
      </c>
      <c r="C135" t="s">
        <v>382</v>
      </c>
    </row>
    <row r="136" spans="1:3" ht="12.75">
      <c r="A136">
        <v>121</v>
      </c>
      <c r="B136" t="s">
        <v>81</v>
      </c>
      <c r="C136" t="s">
        <v>382</v>
      </c>
    </row>
    <row r="137" spans="1:3" ht="12.75">
      <c r="A137">
        <v>122</v>
      </c>
      <c r="B137" t="s">
        <v>82</v>
      </c>
      <c r="C137" t="s">
        <v>382</v>
      </c>
    </row>
    <row r="138" spans="2:3" ht="12.75">
      <c r="B138" t="s">
        <v>412</v>
      </c>
      <c r="C138" t="s">
        <v>411</v>
      </c>
    </row>
    <row r="139" spans="1:3" ht="12.75">
      <c r="A139">
        <v>503</v>
      </c>
      <c r="B139" t="s">
        <v>159</v>
      </c>
      <c r="C139" t="s">
        <v>411</v>
      </c>
    </row>
    <row r="140" spans="1:3" ht="12.75">
      <c r="A140">
        <v>560</v>
      </c>
      <c r="B140" t="s">
        <v>203</v>
      </c>
      <c r="C140" t="s">
        <v>411</v>
      </c>
    </row>
    <row r="141" ht="12.75">
      <c r="C141" t="s">
        <v>383</v>
      </c>
    </row>
    <row r="142" spans="1:3" ht="12.75">
      <c r="A142">
        <v>116</v>
      </c>
      <c r="B142" t="s">
        <v>77</v>
      </c>
      <c r="C142" t="s">
        <v>383</v>
      </c>
    </row>
    <row r="143" spans="1:3" ht="12.75">
      <c r="A143">
        <v>118</v>
      </c>
      <c r="B143" t="s">
        <v>79</v>
      </c>
      <c r="C143" t="s">
        <v>383</v>
      </c>
    </row>
    <row r="144" spans="1:3" ht="12.75">
      <c r="A144">
        <v>120</v>
      </c>
      <c r="B144" t="s">
        <v>80</v>
      </c>
      <c r="C144" t="s">
        <v>383</v>
      </c>
    </row>
    <row r="145" ht="12.75">
      <c r="C145" t="s">
        <v>413</v>
      </c>
    </row>
    <row r="146" spans="1:3" ht="12.75">
      <c r="A146">
        <v>501</v>
      </c>
      <c r="B146" t="s">
        <v>157</v>
      </c>
      <c r="C146" t="s">
        <v>413</v>
      </c>
    </row>
    <row r="147" spans="1:3" ht="12.75">
      <c r="A147">
        <v>502</v>
      </c>
      <c r="B147" t="s">
        <v>158</v>
      </c>
      <c r="C147" t="s">
        <v>413</v>
      </c>
    </row>
    <row r="148" spans="1:3" ht="12.75">
      <c r="A148">
        <v>512</v>
      </c>
      <c r="B148" t="s">
        <v>170</v>
      </c>
      <c r="C148" t="s">
        <v>413</v>
      </c>
    </row>
    <row r="149" spans="1:3" ht="12.75">
      <c r="A149">
        <v>540</v>
      </c>
      <c r="B149" t="s">
        <v>189</v>
      </c>
      <c r="C149" t="s">
        <v>413</v>
      </c>
    </row>
    <row r="150" ht="12.75">
      <c r="C150" t="s">
        <v>384</v>
      </c>
    </row>
    <row r="151" spans="1:3" ht="12.75">
      <c r="A151">
        <v>158</v>
      </c>
      <c r="B151" t="s">
        <v>86</v>
      </c>
      <c r="C151" t="s">
        <v>384</v>
      </c>
    </row>
    <row r="152" ht="12.75">
      <c r="C152" t="s">
        <v>414</v>
      </c>
    </row>
    <row r="153" spans="1:3" ht="12.75">
      <c r="A153">
        <v>519</v>
      </c>
      <c r="B153" t="s">
        <v>179</v>
      </c>
      <c r="C153" t="s">
        <v>414</v>
      </c>
    </row>
    <row r="154" spans="1:3" ht="12.75">
      <c r="A154">
        <v>544</v>
      </c>
      <c r="B154" t="s">
        <v>195</v>
      </c>
      <c r="C154" t="s">
        <v>414</v>
      </c>
    </row>
    <row r="155" ht="12.75">
      <c r="C155" t="s">
        <v>385</v>
      </c>
    </row>
    <row r="156" spans="1:3" ht="12.75">
      <c r="A156" t="s">
        <v>252</v>
      </c>
      <c r="B156" t="s">
        <v>253</v>
      </c>
      <c r="C156" t="s">
        <v>385</v>
      </c>
    </row>
    <row r="157" spans="1:3" ht="12.75">
      <c r="A157" t="s">
        <v>260</v>
      </c>
      <c r="B157" t="s">
        <v>261</v>
      </c>
      <c r="C157" t="s">
        <v>385</v>
      </c>
    </row>
    <row r="158" spans="1:3" ht="12.75">
      <c r="A158" t="s">
        <v>268</v>
      </c>
      <c r="B158" t="s">
        <v>269</v>
      </c>
      <c r="C158" t="s">
        <v>385</v>
      </c>
    </row>
    <row r="159" spans="1:3" ht="12.75">
      <c r="A159" t="s">
        <v>270</v>
      </c>
      <c r="B159" t="s">
        <v>271</v>
      </c>
      <c r="C159" t="s">
        <v>385</v>
      </c>
    </row>
    <row r="160" ht="12.75">
      <c r="C160" t="s">
        <v>415</v>
      </c>
    </row>
    <row r="161" spans="1:3" ht="12.75">
      <c r="A161">
        <v>515</v>
      </c>
      <c r="B161" t="s">
        <v>175</v>
      </c>
      <c r="C161" t="s">
        <v>415</v>
      </c>
    </row>
    <row r="162" spans="1:3" ht="12.75">
      <c r="A162">
        <v>518</v>
      </c>
      <c r="B162" t="s">
        <v>178</v>
      </c>
      <c r="C162" t="s">
        <v>415</v>
      </c>
    </row>
    <row r="163" spans="2:3" ht="12.75">
      <c r="B163" t="s">
        <v>386</v>
      </c>
      <c r="C163" t="s">
        <v>387</v>
      </c>
    </row>
    <row r="164" spans="1:3" ht="12.75">
      <c r="A164">
        <v>101</v>
      </c>
      <c r="B164" t="s">
        <v>64</v>
      </c>
      <c r="C164" t="s">
        <v>387</v>
      </c>
    </row>
    <row r="165" spans="2:3" ht="12.75">
      <c r="B165" t="s">
        <v>416</v>
      </c>
      <c r="C165" t="s">
        <v>417</v>
      </c>
    </row>
    <row r="166" spans="1:3" ht="12.75">
      <c r="A166">
        <v>604</v>
      </c>
      <c r="B166" t="s">
        <v>216</v>
      </c>
      <c r="C166" t="s">
        <v>417</v>
      </c>
    </row>
    <row r="167" ht="12.75">
      <c r="C167" t="s">
        <v>388</v>
      </c>
    </row>
    <row r="168" spans="1:3" ht="12.75">
      <c r="A168">
        <v>105</v>
      </c>
      <c r="B168" t="s">
        <v>68</v>
      </c>
      <c r="C168" t="s">
        <v>431</v>
      </c>
    </row>
    <row r="169" spans="2:3" ht="12.75">
      <c r="B169" t="s">
        <v>418</v>
      </c>
      <c r="C169" t="s">
        <v>419</v>
      </c>
    </row>
    <row r="170" spans="1:3" ht="12.75">
      <c r="A170">
        <v>548</v>
      </c>
      <c r="B170" t="s">
        <v>197</v>
      </c>
      <c r="C170" t="s">
        <v>419</v>
      </c>
    </row>
    <row r="171" ht="12.75">
      <c r="C171" t="s">
        <v>389</v>
      </c>
    </row>
    <row r="172" spans="1:3" ht="12.75">
      <c r="A172">
        <v>102</v>
      </c>
      <c r="B172" t="s">
        <v>65</v>
      </c>
      <c r="C172" t="s">
        <v>389</v>
      </c>
    </row>
    <row r="173" spans="1:3" ht="12.75">
      <c r="A173">
        <v>104</v>
      </c>
      <c r="B173" t="s">
        <v>67</v>
      </c>
      <c r="C173" t="s">
        <v>389</v>
      </c>
    </row>
    <row r="174" spans="1:3" ht="12.75">
      <c r="A174" t="s">
        <v>296</v>
      </c>
      <c r="B174" t="s">
        <v>297</v>
      </c>
      <c r="C174" t="s">
        <v>434</v>
      </c>
    </row>
    <row r="175" spans="1:3" ht="12.75">
      <c r="A175" t="s">
        <v>298</v>
      </c>
      <c r="B175" t="s">
        <v>299</v>
      </c>
      <c r="C175" t="s">
        <v>434</v>
      </c>
    </row>
    <row r="176" spans="1:3" ht="12.75">
      <c r="A176" t="s">
        <v>300</v>
      </c>
      <c r="B176" t="s">
        <v>301</v>
      </c>
      <c r="C176" t="s">
        <v>434</v>
      </c>
    </row>
    <row r="177" spans="1:3" ht="12.75">
      <c r="A177" t="s">
        <v>302</v>
      </c>
      <c r="B177" t="s">
        <v>303</v>
      </c>
      <c r="C177" t="s">
        <v>434</v>
      </c>
    </row>
    <row r="178" spans="1:3" ht="12.75">
      <c r="A178" t="s">
        <v>304</v>
      </c>
      <c r="B178" t="s">
        <v>305</v>
      </c>
      <c r="C178" t="s">
        <v>434</v>
      </c>
    </row>
    <row r="179" spans="1:3" ht="12.75">
      <c r="A179" t="s">
        <v>306</v>
      </c>
      <c r="B179" t="s">
        <v>307</v>
      </c>
      <c r="C179" t="s">
        <v>434</v>
      </c>
    </row>
    <row r="180" spans="1:3" ht="12.75">
      <c r="A180" t="s">
        <v>308</v>
      </c>
      <c r="B180" t="s">
        <v>309</v>
      </c>
      <c r="C180" t="s">
        <v>434</v>
      </c>
    </row>
    <row r="181" spans="1:3" ht="12.75">
      <c r="A181" t="s">
        <v>310</v>
      </c>
      <c r="B181" t="s">
        <v>311</v>
      </c>
      <c r="C181" t="s">
        <v>434</v>
      </c>
    </row>
    <row r="182" spans="1:3" ht="12.75">
      <c r="A182" t="s">
        <v>312</v>
      </c>
      <c r="B182" t="s">
        <v>313</v>
      </c>
      <c r="C182" t="s">
        <v>434</v>
      </c>
    </row>
    <row r="183" spans="1:3" ht="12.75">
      <c r="A183" t="s">
        <v>314</v>
      </c>
      <c r="B183" t="s">
        <v>315</v>
      </c>
      <c r="C183" t="s">
        <v>434</v>
      </c>
    </row>
    <row r="184" spans="1:3" ht="12.75">
      <c r="A184" t="s">
        <v>316</v>
      </c>
      <c r="B184" t="s">
        <v>317</v>
      </c>
      <c r="C184" t="s">
        <v>434</v>
      </c>
    </row>
    <row r="185" spans="1:3" ht="12.75">
      <c r="A185" t="s">
        <v>318</v>
      </c>
      <c r="B185" t="s">
        <v>319</v>
      </c>
      <c r="C185" t="s">
        <v>434</v>
      </c>
    </row>
    <row r="186" spans="1:3" ht="12.75">
      <c r="A186" t="s">
        <v>320</v>
      </c>
      <c r="B186" t="s">
        <v>321</v>
      </c>
      <c r="C186" t="s">
        <v>434</v>
      </c>
    </row>
    <row r="187" spans="1:3" ht="12.75">
      <c r="A187" t="s">
        <v>322</v>
      </c>
      <c r="B187" t="s">
        <v>323</v>
      </c>
      <c r="C187" t="s">
        <v>434</v>
      </c>
    </row>
    <row r="188" spans="1:3" ht="12.75">
      <c r="A188" t="s">
        <v>324</v>
      </c>
      <c r="B188" t="s">
        <v>325</v>
      </c>
      <c r="C188" t="s">
        <v>434</v>
      </c>
    </row>
    <row r="189" spans="1:3" ht="12.75">
      <c r="A189" t="s">
        <v>326</v>
      </c>
      <c r="B189" t="s">
        <v>327</v>
      </c>
      <c r="C189" t="s">
        <v>434</v>
      </c>
    </row>
    <row r="190" spans="1:3" ht="12.75">
      <c r="A190" t="s">
        <v>328</v>
      </c>
      <c r="B190" t="s">
        <v>329</v>
      </c>
      <c r="C190" t="s">
        <v>434</v>
      </c>
    </row>
    <row r="191" spans="1:3" ht="12.75">
      <c r="A191" t="s">
        <v>330</v>
      </c>
      <c r="B191" t="s">
        <v>331</v>
      </c>
      <c r="C191" t="s">
        <v>434</v>
      </c>
    </row>
    <row r="192" spans="1:3" ht="12.75">
      <c r="A192" t="s">
        <v>332</v>
      </c>
      <c r="B192" t="s">
        <v>333</v>
      </c>
      <c r="C192" t="s">
        <v>434</v>
      </c>
    </row>
    <row r="193" spans="1:3" ht="12.75">
      <c r="A193" t="s">
        <v>334</v>
      </c>
      <c r="B193" t="s">
        <v>335</v>
      </c>
      <c r="C193" t="s">
        <v>434</v>
      </c>
    </row>
    <row r="194" spans="1:3" ht="12.75">
      <c r="A194" t="s">
        <v>336</v>
      </c>
      <c r="B194" t="s">
        <v>337</v>
      </c>
      <c r="C194" t="s">
        <v>434</v>
      </c>
    </row>
    <row r="195" spans="1:3" ht="12.75">
      <c r="A195" t="s">
        <v>338</v>
      </c>
      <c r="B195" t="s">
        <v>339</v>
      </c>
      <c r="C195" t="s">
        <v>434</v>
      </c>
    </row>
    <row r="196" spans="1:3" ht="12.75">
      <c r="A196" t="s">
        <v>340</v>
      </c>
      <c r="B196" t="s">
        <v>341</v>
      </c>
      <c r="C196" t="s">
        <v>434</v>
      </c>
    </row>
    <row r="197" spans="1:3" ht="12.75">
      <c r="A197" t="s">
        <v>342</v>
      </c>
      <c r="B197" t="s">
        <v>343</v>
      </c>
      <c r="C197" t="s">
        <v>434</v>
      </c>
    </row>
    <row r="198" spans="1:3" ht="12.75">
      <c r="A198" t="s">
        <v>344</v>
      </c>
      <c r="B198" t="s">
        <v>345</v>
      </c>
      <c r="C198" t="s">
        <v>434</v>
      </c>
    </row>
    <row r="199" spans="1:3" ht="12.75">
      <c r="A199" t="s">
        <v>346</v>
      </c>
      <c r="B199" t="s">
        <v>347</v>
      </c>
      <c r="C199" t="s">
        <v>434</v>
      </c>
    </row>
    <row r="200" spans="1:3" ht="12.75">
      <c r="A200" t="s">
        <v>348</v>
      </c>
      <c r="B200" t="s">
        <v>349</v>
      </c>
      <c r="C200" t="s">
        <v>434</v>
      </c>
    </row>
    <row r="201" spans="1:3" ht="12.75">
      <c r="A201" t="s">
        <v>350</v>
      </c>
      <c r="B201" t="s">
        <v>351</v>
      </c>
      <c r="C201" t="s">
        <v>434</v>
      </c>
    </row>
    <row r="202" spans="1:3" ht="12.75">
      <c r="A202" t="s">
        <v>352</v>
      </c>
      <c r="B202" t="s">
        <v>353</v>
      </c>
      <c r="C202" t="s">
        <v>434</v>
      </c>
    </row>
    <row r="203" spans="1:3" ht="12.75">
      <c r="A203" t="s">
        <v>354</v>
      </c>
      <c r="B203" t="s">
        <v>355</v>
      </c>
      <c r="C203" t="s">
        <v>434</v>
      </c>
    </row>
    <row r="204" spans="1:3" ht="12.75">
      <c r="A204" t="s">
        <v>356</v>
      </c>
      <c r="B204" t="s">
        <v>357</v>
      </c>
      <c r="C204" t="s">
        <v>434</v>
      </c>
    </row>
    <row r="205" spans="1:3" ht="12.75">
      <c r="A205" t="s">
        <v>358</v>
      </c>
      <c r="B205" t="s">
        <v>359</v>
      </c>
      <c r="C205" t="s">
        <v>434</v>
      </c>
    </row>
    <row r="206" spans="1:3" ht="12.75">
      <c r="A206" t="s">
        <v>360</v>
      </c>
      <c r="B206" t="s">
        <v>361</v>
      </c>
      <c r="C206" t="s">
        <v>434</v>
      </c>
    </row>
    <row r="207" spans="1:3" ht="12.75">
      <c r="A207" t="s">
        <v>362</v>
      </c>
      <c r="B207" t="s">
        <v>363</v>
      </c>
      <c r="C207" t="s">
        <v>434</v>
      </c>
    </row>
    <row r="208" spans="1:3" ht="12.75">
      <c r="A208" t="s">
        <v>364</v>
      </c>
      <c r="B208" t="s">
        <v>365</v>
      </c>
      <c r="C208" t="s">
        <v>434</v>
      </c>
    </row>
    <row r="209" spans="1:3" ht="12.75">
      <c r="A209" t="s">
        <v>366</v>
      </c>
      <c r="B209" t="s">
        <v>367</v>
      </c>
      <c r="C209" t="s">
        <v>434</v>
      </c>
    </row>
    <row r="210" spans="1:3" ht="12.75">
      <c r="A210" t="s">
        <v>368</v>
      </c>
      <c r="B210" t="s">
        <v>369</v>
      </c>
      <c r="C210" t="s">
        <v>434</v>
      </c>
    </row>
    <row r="211" spans="1:3" ht="12.75">
      <c r="A211" t="s">
        <v>370</v>
      </c>
      <c r="B211" t="s">
        <v>371</v>
      </c>
      <c r="C211" t="s">
        <v>434</v>
      </c>
    </row>
    <row r="212" ht="12.75">
      <c r="C212" t="s">
        <v>420</v>
      </c>
    </row>
    <row r="213" spans="1:3" ht="12.75">
      <c r="A213">
        <v>504</v>
      </c>
      <c r="B213" t="s">
        <v>160</v>
      </c>
      <c r="C213" t="s">
        <v>420</v>
      </c>
    </row>
    <row r="214" spans="2:3" ht="12.75">
      <c r="B214" t="s">
        <v>390</v>
      </c>
      <c r="C214" t="s">
        <v>391</v>
      </c>
    </row>
    <row r="215" spans="2:3" ht="12.75">
      <c r="B215" t="s">
        <v>421</v>
      </c>
      <c r="C215" t="s">
        <v>422</v>
      </c>
    </row>
    <row r="216" spans="1:3" ht="12.75">
      <c r="A216">
        <v>332</v>
      </c>
      <c r="B216" t="s">
        <v>128</v>
      </c>
      <c r="C216" t="s">
        <v>422</v>
      </c>
    </row>
    <row r="217" spans="1:3" ht="12.75">
      <c r="A217" t="s">
        <v>129</v>
      </c>
      <c r="B217" t="s">
        <v>130</v>
      </c>
      <c r="C217" t="s">
        <v>422</v>
      </c>
    </row>
    <row r="218" spans="1:3" ht="12.75">
      <c r="A218" t="s">
        <v>151</v>
      </c>
      <c r="B218" t="s">
        <v>152</v>
      </c>
      <c r="C218" t="s">
        <v>422</v>
      </c>
    </row>
    <row r="219" ht="12.75">
      <c r="C219" t="s">
        <v>392</v>
      </c>
    </row>
    <row r="220" spans="1:3" ht="12.75">
      <c r="A220">
        <v>605</v>
      </c>
      <c r="B220" t="s">
        <v>217</v>
      </c>
      <c r="C220" t="s">
        <v>392</v>
      </c>
    </row>
    <row r="221" ht="12.75">
      <c r="C221" t="s">
        <v>423</v>
      </c>
    </row>
    <row r="222" ht="12.75">
      <c r="C222" t="s">
        <v>393</v>
      </c>
    </row>
    <row r="223" spans="1:3" ht="12.75">
      <c r="A223">
        <v>606</v>
      </c>
      <c r="B223" t="s">
        <v>218</v>
      </c>
      <c r="C223" t="s">
        <v>393</v>
      </c>
    </row>
    <row r="224" spans="2:3" ht="12.75">
      <c r="B224" t="s">
        <v>424</v>
      </c>
      <c r="C224" t="s">
        <v>425</v>
      </c>
    </row>
    <row r="225" spans="1:3" ht="12.75">
      <c r="A225">
        <v>151</v>
      </c>
      <c r="B225" t="s">
        <v>84</v>
      </c>
      <c r="C225" t="s">
        <v>425</v>
      </c>
    </row>
    <row r="226" spans="1:3" ht="12.75">
      <c r="A226">
        <v>517</v>
      </c>
      <c r="B226" t="s">
        <v>177</v>
      </c>
      <c r="C226" t="s">
        <v>425</v>
      </c>
    </row>
    <row r="227" spans="1:3" ht="12.75">
      <c r="A227">
        <v>526</v>
      </c>
      <c r="B227" t="s">
        <v>183</v>
      </c>
      <c r="C227" t="s">
        <v>425</v>
      </c>
    </row>
    <row r="228" spans="1:3" ht="12.75">
      <c r="A228">
        <v>561</v>
      </c>
      <c r="B228" t="s">
        <v>204</v>
      </c>
      <c r="C228" t="s">
        <v>425</v>
      </c>
    </row>
    <row r="229" spans="1:3" ht="12.75">
      <c r="A229">
        <v>565</v>
      </c>
      <c r="B229" t="s">
        <v>206</v>
      </c>
      <c r="C229" t="s">
        <v>425</v>
      </c>
    </row>
    <row r="230" spans="1:3" ht="12.75">
      <c r="A230" t="s">
        <v>248</v>
      </c>
      <c r="B230" t="s">
        <v>249</v>
      </c>
      <c r="C230" t="s">
        <v>425</v>
      </c>
    </row>
    <row r="231" spans="1:3" ht="12.75">
      <c r="A231" t="s">
        <v>250</v>
      </c>
      <c r="B231" t="s">
        <v>251</v>
      </c>
      <c r="C231" t="s">
        <v>425</v>
      </c>
    </row>
    <row r="232" spans="1:3" ht="12.75">
      <c r="A232" t="s">
        <v>272</v>
      </c>
      <c r="B232" t="s">
        <v>273</v>
      </c>
      <c r="C232" t="s">
        <v>425</v>
      </c>
    </row>
    <row r="233" ht="12.75">
      <c r="C233" t="s">
        <v>394</v>
      </c>
    </row>
    <row r="234" spans="2:3" ht="12.75">
      <c r="B234" t="s">
        <v>395</v>
      </c>
      <c r="C234" t="s">
        <v>396</v>
      </c>
    </row>
    <row r="235" spans="1:3" ht="12.75">
      <c r="A235">
        <v>602</v>
      </c>
      <c r="B235" t="s">
        <v>215</v>
      </c>
      <c r="C235" t="s">
        <v>396</v>
      </c>
    </row>
    <row r="236" spans="1:3" ht="12.75">
      <c r="A236">
        <v>611</v>
      </c>
      <c r="B236" t="s">
        <v>222</v>
      </c>
      <c r="C236" t="s">
        <v>396</v>
      </c>
    </row>
    <row r="237" ht="12.75">
      <c r="C237" t="s">
        <v>426</v>
      </c>
    </row>
    <row r="238" ht="12.75">
      <c r="C238" t="s">
        <v>397</v>
      </c>
    </row>
    <row r="239" spans="1:3" ht="12.75">
      <c r="A239">
        <v>613</v>
      </c>
      <c r="B239" t="s">
        <v>224</v>
      </c>
      <c r="C239" t="s">
        <v>397</v>
      </c>
    </row>
    <row r="240" ht="12.75">
      <c r="C240" t="s">
        <v>429</v>
      </c>
    </row>
    <row r="241" spans="1:3" ht="12.75">
      <c r="A241" t="s">
        <v>230</v>
      </c>
      <c r="B241" t="s">
        <v>231</v>
      </c>
      <c r="C241" t="s">
        <v>429</v>
      </c>
    </row>
    <row r="242" ht="12.75">
      <c r="C242" t="s">
        <v>430</v>
      </c>
    </row>
    <row r="243" spans="1:3" ht="12.75">
      <c r="A243">
        <v>300</v>
      </c>
      <c r="B243" t="s">
        <v>98</v>
      </c>
      <c r="C243" t="s">
        <v>430</v>
      </c>
    </row>
    <row r="244" spans="1:3" ht="12.75">
      <c r="A244" t="s">
        <v>91</v>
      </c>
      <c r="B244" t="s">
        <v>92</v>
      </c>
      <c r="C244" t="s">
        <v>433</v>
      </c>
    </row>
    <row r="245" spans="1:3" ht="12.75">
      <c r="A245">
        <v>650</v>
      </c>
      <c r="B245" t="s">
        <v>233</v>
      </c>
      <c r="C245" t="s">
        <v>433</v>
      </c>
    </row>
    <row r="246" spans="1:3" ht="12.75">
      <c r="A246">
        <v>654</v>
      </c>
      <c r="B246" t="s">
        <v>234</v>
      </c>
      <c r="C246" t="s">
        <v>433</v>
      </c>
    </row>
    <row r="247" spans="2:3" ht="12.75">
      <c r="B247" t="s">
        <v>427</v>
      </c>
      <c r="C247" t="s">
        <v>428</v>
      </c>
    </row>
    <row r="248" spans="1:3" ht="12.75">
      <c r="A248" t="s">
        <v>240</v>
      </c>
      <c r="B248" t="s">
        <v>241</v>
      </c>
      <c r="C248" t="s">
        <v>428</v>
      </c>
    </row>
    <row r="249" spans="1:3" ht="12.75">
      <c r="A249" t="s">
        <v>242</v>
      </c>
      <c r="B249" t="s">
        <v>243</v>
      </c>
      <c r="C249" t="s">
        <v>428</v>
      </c>
    </row>
    <row r="251" spans="1:2" ht="12.75">
      <c r="A251" t="s">
        <v>94</v>
      </c>
      <c r="B251" t="s">
        <v>95</v>
      </c>
    </row>
    <row r="252" spans="1:2" ht="12.75">
      <c r="A252">
        <v>309</v>
      </c>
      <c r="B252" t="s">
        <v>109</v>
      </c>
    </row>
    <row r="253" spans="1:2" ht="12.75">
      <c r="A253">
        <v>310</v>
      </c>
      <c r="B253" t="s">
        <v>110</v>
      </c>
    </row>
    <row r="254" spans="1:2" ht="12.75">
      <c r="A254" t="s">
        <v>115</v>
      </c>
      <c r="B254" t="s">
        <v>116</v>
      </c>
    </row>
    <row r="255" spans="1:2" ht="12.75">
      <c r="A255">
        <v>352</v>
      </c>
      <c r="B255" t="s">
        <v>145</v>
      </c>
    </row>
    <row r="256" spans="1:2" ht="12.75">
      <c r="A256">
        <v>357</v>
      </c>
      <c r="B256" t="s">
        <v>148</v>
      </c>
    </row>
    <row r="257" spans="1:2" ht="12.75">
      <c r="A257">
        <v>376</v>
      </c>
      <c r="B257" t="s">
        <v>156</v>
      </c>
    </row>
    <row r="258" spans="1:2" ht="12.75">
      <c r="A258">
        <v>508</v>
      </c>
      <c r="B258" t="s">
        <v>164</v>
      </c>
    </row>
    <row r="259" spans="1:2" ht="12.75">
      <c r="A259" t="s">
        <v>165</v>
      </c>
      <c r="B259" t="s">
        <v>166</v>
      </c>
    </row>
    <row r="260" spans="1:2" ht="12.75">
      <c r="A260">
        <v>522</v>
      </c>
      <c r="B260" t="s">
        <v>181</v>
      </c>
    </row>
    <row r="261" spans="1:2" ht="12.75">
      <c r="A261">
        <v>523</v>
      </c>
      <c r="B261" t="s">
        <v>182</v>
      </c>
    </row>
    <row r="262" spans="1:2" ht="12.75">
      <c r="A262">
        <v>535</v>
      </c>
      <c r="B262" t="s">
        <v>186</v>
      </c>
    </row>
    <row r="263" spans="1:2" ht="12.75">
      <c r="A263">
        <v>541</v>
      </c>
      <c r="B263" t="s">
        <v>190</v>
      </c>
    </row>
    <row r="264" spans="1:2" ht="12.75">
      <c r="A264" t="s">
        <v>191</v>
      </c>
      <c r="B264" t="s">
        <v>192</v>
      </c>
    </row>
    <row r="265" spans="1:2" ht="12.75">
      <c r="A265">
        <v>542</v>
      </c>
      <c r="B265" t="s">
        <v>193</v>
      </c>
    </row>
    <row r="266" spans="1:2" ht="12.75">
      <c r="A266">
        <v>551</v>
      </c>
      <c r="B266" t="s">
        <v>199</v>
      </c>
    </row>
    <row r="267" spans="1:2" ht="12.75">
      <c r="A267">
        <v>559</v>
      </c>
      <c r="B267" t="s">
        <v>202</v>
      </c>
    </row>
    <row r="268" spans="1:2" ht="12.75">
      <c r="A268">
        <v>570</v>
      </c>
      <c r="B268" t="s">
        <v>208</v>
      </c>
    </row>
    <row r="269" spans="1:2" ht="12.75">
      <c r="A269">
        <v>572</v>
      </c>
      <c r="B269" t="s">
        <v>209</v>
      </c>
    </row>
    <row r="270" spans="1:2" ht="12.75">
      <c r="A270">
        <v>601</v>
      </c>
      <c r="B270" t="s">
        <v>214</v>
      </c>
    </row>
    <row r="271" spans="1:2" ht="12.75">
      <c r="A271">
        <v>670</v>
      </c>
      <c r="B271" t="s">
        <v>235</v>
      </c>
    </row>
    <row r="272" spans="1:2" ht="12.75">
      <c r="A272">
        <v>700</v>
      </c>
      <c r="B272" t="s">
        <v>236</v>
      </c>
    </row>
    <row r="273" spans="1:2" ht="12.75">
      <c r="A273">
        <v>701</v>
      </c>
      <c r="B273" t="s">
        <v>237</v>
      </c>
    </row>
    <row r="274" spans="1:2" ht="12.75">
      <c r="A274" t="s">
        <v>244</v>
      </c>
      <c r="B274" t="s">
        <v>245</v>
      </c>
    </row>
    <row r="275" spans="1:2" ht="12.75">
      <c r="A275" t="s">
        <v>246</v>
      </c>
      <c r="B275" t="s">
        <v>247</v>
      </c>
    </row>
    <row r="276" spans="1:2" ht="12.75">
      <c r="A276" t="s">
        <v>294</v>
      </c>
      <c r="B276" t="s">
        <v>295</v>
      </c>
    </row>
  </sheetData>
  <sheetProtection/>
  <printOptions gridLines="1"/>
  <pageMargins left="0.75" right="0.75" top="1" bottom="1" header="0.5" footer="0.5"/>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codeName="Sheet9"/>
  <dimension ref="A3:AX350"/>
  <sheetViews>
    <sheetView zoomScalePageLayoutView="0" workbookViewId="0" topLeftCell="A9">
      <pane xSplit="5" ySplit="3" topLeftCell="G12" activePane="bottomRight" state="frozen"/>
      <selection pane="topLeft" activeCell="A9" sqref="A9"/>
      <selection pane="topRight" activeCell="F9" sqref="F9"/>
      <selection pane="bottomLeft" activeCell="A12" sqref="A12"/>
      <selection pane="bottomRight" activeCell="Q39" sqref="Q39"/>
    </sheetView>
  </sheetViews>
  <sheetFormatPr defaultColWidth="9.140625" defaultRowHeight="12.75"/>
  <cols>
    <col min="1" max="1" width="6.8515625" style="0" customWidth="1"/>
    <col min="2" max="2" width="26.421875" style="0" customWidth="1"/>
    <col min="3" max="3" width="7.140625" style="0" customWidth="1"/>
    <col min="6" max="6" width="6.421875" style="0" customWidth="1"/>
    <col min="7" max="7" width="7.57421875" style="0" customWidth="1"/>
    <col min="8" max="9" width="6.421875" style="0" customWidth="1"/>
    <col min="10" max="10" width="8.00390625" style="0" customWidth="1"/>
    <col min="11" max="11" width="6.421875" style="0" customWidth="1"/>
    <col min="12" max="12" width="8.140625" style="0" customWidth="1"/>
    <col min="13" max="13" width="8.28125" style="0" customWidth="1"/>
    <col min="14" max="20" width="6.421875" style="0" customWidth="1"/>
    <col min="21" max="21" width="7.7109375" style="0" customWidth="1"/>
    <col min="22" max="50" width="6.421875" style="0" customWidth="1"/>
  </cols>
  <sheetData>
    <row r="3" ht="12.75">
      <c r="B3" t="s">
        <v>547</v>
      </c>
    </row>
    <row r="5" ht="12.75">
      <c r="B5" t="s">
        <v>548</v>
      </c>
    </row>
    <row r="7" ht="12.75">
      <c r="C7" s="196">
        <v>41214</v>
      </c>
    </row>
    <row r="8" spans="1:2" ht="12.75">
      <c r="A8" t="s">
        <v>32</v>
      </c>
      <c r="B8" t="s">
        <v>0</v>
      </c>
    </row>
    <row r="10" ht="12.75">
      <c r="B10" t="s">
        <v>1</v>
      </c>
    </row>
    <row r="11" spans="2:8" ht="12.75">
      <c r="B11" t="s">
        <v>41</v>
      </c>
      <c r="F11">
        <v>8</v>
      </c>
      <c r="G11">
        <v>3</v>
      </c>
      <c r="H11">
        <v>9</v>
      </c>
    </row>
    <row r="12" spans="1:5" ht="12.75">
      <c r="A12">
        <v>101</v>
      </c>
      <c r="B12" t="s">
        <v>64</v>
      </c>
      <c r="C12">
        <v>511087</v>
      </c>
      <c r="E12">
        <f>VLOOKUP(A12,Workings!A:P,15,FALSE)</f>
        <v>1300</v>
      </c>
    </row>
    <row r="13" spans="1:5" ht="12.75">
      <c r="A13">
        <v>102</v>
      </c>
      <c r="B13" t="s">
        <v>65</v>
      </c>
      <c r="C13">
        <v>88358</v>
      </c>
      <c r="E13">
        <f>VLOOKUP(A13,Workings!A:P,15,FALSE)</f>
        <v>1320</v>
      </c>
    </row>
    <row r="14" spans="1:5" ht="12.75">
      <c r="A14">
        <v>103</v>
      </c>
      <c r="B14" t="s">
        <v>66</v>
      </c>
      <c r="C14">
        <v>2000</v>
      </c>
      <c r="E14">
        <f>VLOOKUP(A14,Workings!A:P,15,FALSE)</f>
        <v>1220</v>
      </c>
    </row>
    <row r="15" spans="1:5" ht="12.75">
      <c r="A15">
        <v>104</v>
      </c>
      <c r="B15" t="s">
        <v>67</v>
      </c>
      <c r="C15">
        <v>2347</v>
      </c>
      <c r="E15">
        <f>VLOOKUP(A15,Workings!A:P,15,FALSE)</f>
        <v>1320</v>
      </c>
    </row>
    <row r="16" spans="1:5" ht="12.75">
      <c r="A16">
        <v>105</v>
      </c>
      <c r="B16" t="s">
        <v>68</v>
      </c>
      <c r="C16">
        <v>164589</v>
      </c>
      <c r="E16">
        <f>VLOOKUP(A16,Workings!A:P,15,FALSE)</f>
        <v>1310</v>
      </c>
    </row>
    <row r="17" spans="1:5" ht="12.75">
      <c r="A17">
        <v>106</v>
      </c>
      <c r="B17" t="s">
        <v>69</v>
      </c>
      <c r="C17">
        <v>22300</v>
      </c>
      <c r="E17">
        <f>VLOOKUP(A17,Workings!A:P,15,FALSE)</f>
        <v>1220</v>
      </c>
    </row>
    <row r="18" spans="1:5" ht="12.75">
      <c r="A18">
        <v>107</v>
      </c>
      <c r="B18" t="s">
        <v>70</v>
      </c>
      <c r="C18">
        <v>22805</v>
      </c>
      <c r="E18">
        <f>VLOOKUP(A18,Workings!A:P,15,FALSE)</f>
        <v>1000</v>
      </c>
    </row>
    <row r="19" spans="1:5" ht="12.75">
      <c r="A19">
        <v>108</v>
      </c>
      <c r="B19" t="s">
        <v>71</v>
      </c>
      <c r="C19">
        <v>4324536</v>
      </c>
      <c r="E19">
        <f>VLOOKUP(A19,Workings!A:P,15,FALSE)</f>
        <v>1000</v>
      </c>
    </row>
    <row r="20" spans="1:5" ht="12.75">
      <c r="A20">
        <v>109</v>
      </c>
      <c r="B20" t="s">
        <v>72</v>
      </c>
      <c r="C20">
        <v>0</v>
      </c>
      <c r="E20" t="e">
        <f>VLOOKUP(A20,Workings!A:P,15,FALSE)</f>
        <v>#N/A</v>
      </c>
    </row>
    <row r="21" spans="1:5" ht="12.75">
      <c r="A21">
        <v>112</v>
      </c>
      <c r="B21" t="s">
        <v>73</v>
      </c>
      <c r="C21">
        <v>539940</v>
      </c>
      <c r="E21">
        <f>VLOOKUP(A21,Workings!A:P,15,FALSE)</f>
        <v>1000</v>
      </c>
    </row>
    <row r="22" spans="1:5" ht="12.75">
      <c r="A22">
        <v>113</v>
      </c>
      <c r="B22" t="s">
        <v>74</v>
      </c>
      <c r="C22">
        <v>75434</v>
      </c>
      <c r="E22">
        <f>VLOOKUP(A22,Workings!A:P,15,FALSE)</f>
        <v>1000</v>
      </c>
    </row>
    <row r="23" spans="1:5" ht="12.75">
      <c r="A23">
        <v>114</v>
      </c>
      <c r="B23" t="s">
        <v>75</v>
      </c>
      <c r="C23">
        <v>65414</v>
      </c>
      <c r="E23">
        <f>VLOOKUP(A23,Workings!A:P,15,FALSE)</f>
        <v>1220</v>
      </c>
    </row>
    <row r="24" spans="1:5" ht="12.75">
      <c r="A24">
        <v>115</v>
      </c>
      <c r="B24" t="s">
        <v>76</v>
      </c>
      <c r="C24">
        <v>227134</v>
      </c>
      <c r="E24">
        <f>VLOOKUP(A24,Workings!A:P,15,FALSE)</f>
        <v>1220</v>
      </c>
    </row>
    <row r="25" spans="1:5" ht="12.75">
      <c r="A25">
        <v>116</v>
      </c>
      <c r="B25" t="s">
        <v>77</v>
      </c>
      <c r="C25">
        <v>132850</v>
      </c>
      <c r="E25">
        <f>VLOOKUP(A25,Workings!A:P,15,FALSE)</f>
        <v>1230</v>
      </c>
    </row>
    <row r="26" spans="1:5" ht="12.75">
      <c r="A26">
        <v>117</v>
      </c>
      <c r="B26" t="s">
        <v>78</v>
      </c>
      <c r="C26">
        <v>239642</v>
      </c>
      <c r="E26">
        <f>VLOOKUP(A26,Workings!A:P,15,FALSE)</f>
        <v>1220</v>
      </c>
    </row>
    <row r="27" spans="1:5" ht="12.75">
      <c r="A27">
        <v>118</v>
      </c>
      <c r="B27" t="s">
        <v>79</v>
      </c>
      <c r="C27">
        <v>141552</v>
      </c>
      <c r="E27">
        <f>VLOOKUP(A27,Workings!A:P,15,FALSE)</f>
        <v>1230</v>
      </c>
    </row>
    <row r="28" spans="1:5" ht="12.75">
      <c r="A28">
        <v>120</v>
      </c>
      <c r="B28" t="s">
        <v>80</v>
      </c>
      <c r="C28">
        <v>74010</v>
      </c>
      <c r="E28">
        <f>VLOOKUP(A28,Workings!A:P,15,FALSE)</f>
        <v>1230</v>
      </c>
    </row>
    <row r="29" spans="1:5" ht="12.75">
      <c r="A29">
        <v>121</v>
      </c>
      <c r="B29" t="s">
        <v>81</v>
      </c>
      <c r="C29">
        <v>38883</v>
      </c>
      <c r="E29">
        <f>VLOOKUP(A29,Workings!A:P,15,FALSE)</f>
        <v>1220</v>
      </c>
    </row>
    <row r="30" spans="1:5" ht="12.75">
      <c r="A30">
        <v>122</v>
      </c>
      <c r="B30" t="s">
        <v>82</v>
      </c>
      <c r="C30">
        <v>73521</v>
      </c>
      <c r="E30">
        <f>VLOOKUP(A30,Workings!A:P,15,FALSE)</f>
        <v>1220</v>
      </c>
    </row>
    <row r="31" spans="1:5" ht="12.75">
      <c r="A31">
        <v>150</v>
      </c>
      <c r="B31" t="s">
        <v>83</v>
      </c>
      <c r="C31">
        <v>24000</v>
      </c>
      <c r="E31">
        <f>VLOOKUP(A31,Workings!A:P,15,FALSE)</f>
        <v>1200</v>
      </c>
    </row>
    <row r="32" spans="1:5" ht="12.75">
      <c r="A32">
        <v>151</v>
      </c>
      <c r="B32" t="s">
        <v>84</v>
      </c>
      <c r="C32">
        <v>5000</v>
      </c>
      <c r="E32">
        <f>VLOOKUP(A32,Workings!A:P,15,FALSE)</f>
        <v>2200</v>
      </c>
    </row>
    <row r="33" spans="1:5" ht="12.75">
      <c r="A33">
        <v>153</v>
      </c>
      <c r="B33" t="s">
        <v>85</v>
      </c>
      <c r="C33">
        <v>0</v>
      </c>
      <c r="E33" t="e">
        <f>VLOOKUP(A33,Workings!A:P,15,FALSE)</f>
        <v>#N/A</v>
      </c>
    </row>
    <row r="34" spans="1:5" ht="12.75">
      <c r="A34">
        <v>158</v>
      </c>
      <c r="B34" t="s">
        <v>86</v>
      </c>
      <c r="C34">
        <v>86179</v>
      </c>
      <c r="E34">
        <f>VLOOKUP(A34,Workings!A:P,15,FALSE)</f>
        <v>1240</v>
      </c>
    </row>
    <row r="35" spans="1:5" ht="12.75">
      <c r="A35">
        <v>200</v>
      </c>
      <c r="B35" t="s">
        <v>87</v>
      </c>
      <c r="C35">
        <v>-7730179</v>
      </c>
      <c r="D35" s="251">
        <f>SUM(G35:AR35)</f>
        <v>0</v>
      </c>
      <c r="E35">
        <f>VLOOKUP(A35,Workings!A:P,15,FALSE)</f>
        <v>5100</v>
      </c>
    </row>
    <row r="36" spans="1:5" ht="12.75">
      <c r="A36">
        <v>201</v>
      </c>
      <c r="B36" t="s">
        <v>88</v>
      </c>
      <c r="C36">
        <v>-253822</v>
      </c>
      <c r="D36" s="251">
        <f>SUM(G36:AR36)</f>
        <v>0</v>
      </c>
      <c r="E36">
        <f>VLOOKUP(A36,Workings!A:P,15,FALSE)</f>
        <v>5300</v>
      </c>
    </row>
    <row r="37" spans="1:5" ht="12.75">
      <c r="A37">
        <v>202</v>
      </c>
      <c r="B37" t="s">
        <v>89</v>
      </c>
      <c r="C37">
        <v>-563665</v>
      </c>
      <c r="D37" s="251">
        <f>SUM(G37:AR37)</f>
        <v>0</v>
      </c>
      <c r="E37">
        <f>VLOOKUP(A37,Workings!A:P,15,FALSE)</f>
        <v>5200</v>
      </c>
    </row>
    <row r="38" spans="1:5" ht="12.75">
      <c r="A38">
        <v>205</v>
      </c>
      <c r="B38" t="s">
        <v>90</v>
      </c>
      <c r="C38">
        <v>0</v>
      </c>
      <c r="E38" t="e">
        <f>VLOOKUP(A38,Workings!A:P,15,FALSE)</f>
        <v>#N/A</v>
      </c>
    </row>
    <row r="39" spans="1:5" ht="12.75">
      <c r="A39" t="s">
        <v>91</v>
      </c>
      <c r="B39" t="s">
        <v>92</v>
      </c>
      <c r="C39">
        <v>40580</v>
      </c>
      <c r="E39" t="e">
        <f>VLOOKUP(A39,Workings!A:P,15,FALSE)</f>
        <v>#N/A</v>
      </c>
    </row>
    <row r="40" spans="1:5" ht="12.75">
      <c r="A40">
        <v>217</v>
      </c>
      <c r="B40" t="s">
        <v>93</v>
      </c>
      <c r="C40">
        <v>0</v>
      </c>
      <c r="E40">
        <f>VLOOKUP(A40,Workings!A:P,15,FALSE)</f>
        <v>5300</v>
      </c>
    </row>
    <row r="41" spans="1:5" ht="12.75">
      <c r="A41" t="s">
        <v>94</v>
      </c>
      <c r="B41" t="s">
        <v>95</v>
      </c>
      <c r="C41">
        <v>0</v>
      </c>
      <c r="E41" t="e">
        <f>VLOOKUP(A41,Workings!A:P,15,FALSE)</f>
        <v>#N/A</v>
      </c>
    </row>
    <row r="42" spans="1:5" ht="12.75">
      <c r="A42">
        <v>250</v>
      </c>
      <c r="B42" t="s">
        <v>96</v>
      </c>
      <c r="C42">
        <v>0</v>
      </c>
      <c r="E42">
        <f>VLOOKUP(A42,Workings!A:P,15,FALSE)</f>
        <v>6200</v>
      </c>
    </row>
    <row r="43" spans="1:5" ht="12.75">
      <c r="A43">
        <v>251</v>
      </c>
      <c r="B43" t="s">
        <v>522</v>
      </c>
      <c r="E43">
        <f>VLOOKUP(A43,Workings!A:P,15,FALSE)</f>
        <v>6200</v>
      </c>
    </row>
    <row r="44" spans="1:5" ht="12.75">
      <c r="A44">
        <v>254</v>
      </c>
      <c r="B44" t="s">
        <v>523</v>
      </c>
      <c r="C44">
        <v>-694327</v>
      </c>
      <c r="E44">
        <f>VLOOKUP(A44,Workings!A:P,15,FALSE)</f>
        <v>6200</v>
      </c>
    </row>
    <row r="45" spans="1:5" ht="12.75">
      <c r="A45">
        <v>255</v>
      </c>
      <c r="B45" t="s">
        <v>537</v>
      </c>
      <c r="E45" t="e">
        <f>VLOOKUP(A45,Workings!A:P,15,FALSE)</f>
        <v>#N/A</v>
      </c>
    </row>
    <row r="46" spans="1:50" ht="12.75">
      <c r="A46">
        <v>300</v>
      </c>
      <c r="B46" t="s">
        <v>98</v>
      </c>
      <c r="C46">
        <v>422934</v>
      </c>
      <c r="D46" s="251">
        <f>SUM(F46:AZ46)</f>
        <v>29000</v>
      </c>
      <c r="E46">
        <f>VLOOKUP(A46,Workings!A:P,15,FALSE)</f>
        <v>3200</v>
      </c>
      <c r="F46" s="251">
        <v>29000</v>
      </c>
      <c r="K46" s="251"/>
      <c r="N46" s="251"/>
      <c r="O46" s="251"/>
      <c r="Q46" s="251"/>
      <c r="R46" s="251"/>
      <c r="S46" s="251"/>
      <c r="U46" s="251"/>
      <c r="Y46" s="251"/>
      <c r="Z46" s="251"/>
      <c r="AA46" s="251"/>
      <c r="AC46" s="251"/>
      <c r="AD46" s="251"/>
      <c r="AE46" s="251"/>
      <c r="AF46" s="251"/>
      <c r="AJ46" s="251"/>
      <c r="AK46" s="251"/>
      <c r="AL46" s="251"/>
      <c r="AM46" s="251"/>
      <c r="AN46" s="251"/>
      <c r="AR46" s="251"/>
      <c r="AS46" s="251"/>
      <c r="AT46" s="251"/>
      <c r="AU46" s="251"/>
      <c r="AV46" s="251"/>
      <c r="AW46" s="251"/>
      <c r="AX46" s="251"/>
    </row>
    <row r="47" spans="1:5" ht="12.75">
      <c r="A47">
        <v>301</v>
      </c>
      <c r="B47" t="s">
        <v>99</v>
      </c>
      <c r="C47">
        <v>3575</v>
      </c>
      <c r="E47">
        <f>VLOOKUP(A47,Workings!A:P,15,FALSE)</f>
        <v>1600</v>
      </c>
    </row>
    <row r="48" spans="1:5" ht="12.75">
      <c r="A48">
        <v>303</v>
      </c>
      <c r="B48" t="s">
        <v>100</v>
      </c>
      <c r="C48">
        <v>2985</v>
      </c>
      <c r="E48">
        <f>VLOOKUP(A48,Workings!A:P,15,FALSE)</f>
        <v>1600</v>
      </c>
    </row>
    <row r="49" spans="1:5" ht="12.75">
      <c r="A49" t="s">
        <v>101</v>
      </c>
      <c r="B49" t="s">
        <v>102</v>
      </c>
      <c r="C49">
        <v>0</v>
      </c>
      <c r="E49">
        <f>VLOOKUP(A49,Workings!A:P,15,FALSE)</f>
        <v>1600</v>
      </c>
    </row>
    <row r="50" spans="1:5" ht="12.75">
      <c r="A50">
        <v>304</v>
      </c>
      <c r="B50" t="s">
        <v>103</v>
      </c>
      <c r="C50">
        <v>1565</v>
      </c>
      <c r="E50">
        <f>VLOOKUP(A50,Workings!A:P,15,FALSE)</f>
        <v>1600</v>
      </c>
    </row>
    <row r="51" spans="1:5" ht="12.75">
      <c r="A51" t="s">
        <v>104</v>
      </c>
      <c r="B51" t="s">
        <v>105</v>
      </c>
      <c r="C51">
        <v>0</v>
      </c>
      <c r="E51">
        <f>VLOOKUP(A51,Workings!A:P,15,FALSE)</f>
        <v>1600</v>
      </c>
    </row>
    <row r="52" spans="1:5" ht="12.75">
      <c r="A52">
        <v>306</v>
      </c>
      <c r="B52" t="s">
        <v>106</v>
      </c>
      <c r="C52">
        <v>8640</v>
      </c>
      <c r="E52">
        <f>VLOOKUP(A52,Workings!A:P,15,FALSE)</f>
        <v>1600</v>
      </c>
    </row>
    <row r="53" spans="1:5" ht="12.75">
      <c r="A53">
        <v>307</v>
      </c>
      <c r="B53" t="s">
        <v>107</v>
      </c>
      <c r="C53">
        <v>4349</v>
      </c>
      <c r="E53">
        <f>VLOOKUP(A53,Workings!A:P,15,FALSE)</f>
        <v>1600</v>
      </c>
    </row>
    <row r="54" spans="1:5" ht="12.75">
      <c r="A54">
        <v>308</v>
      </c>
      <c r="B54" t="s">
        <v>108</v>
      </c>
      <c r="C54">
        <v>6292</v>
      </c>
      <c r="E54">
        <f>VLOOKUP(A54,Workings!A:P,15,FALSE)</f>
        <v>1600</v>
      </c>
    </row>
    <row r="55" spans="1:5" ht="12.75">
      <c r="A55">
        <v>309</v>
      </c>
      <c r="B55" t="s">
        <v>109</v>
      </c>
      <c r="C55">
        <v>0</v>
      </c>
      <c r="E55">
        <f>VLOOKUP(A55,Workings!A:P,15,FALSE)</f>
        <v>1600</v>
      </c>
    </row>
    <row r="56" spans="1:5" ht="12.75">
      <c r="A56">
        <v>310</v>
      </c>
      <c r="B56" t="s">
        <v>110</v>
      </c>
      <c r="C56">
        <v>0</v>
      </c>
      <c r="E56" t="e">
        <f>VLOOKUP(A56,Workings!A:P,15,FALSE)</f>
        <v>#N/A</v>
      </c>
    </row>
    <row r="57" spans="1:5" ht="12.75">
      <c r="A57">
        <v>312</v>
      </c>
      <c r="B57" t="s">
        <v>111</v>
      </c>
      <c r="C57">
        <v>533</v>
      </c>
      <c r="E57">
        <f>VLOOKUP(A57,Workings!A:P,15,FALSE)</f>
        <v>1600</v>
      </c>
    </row>
    <row r="58" spans="1:5" ht="12.75">
      <c r="A58">
        <v>313</v>
      </c>
      <c r="B58" t="s">
        <v>112</v>
      </c>
      <c r="C58">
        <v>16137</v>
      </c>
      <c r="E58">
        <f>VLOOKUP(A58,Workings!A:P,15,FALSE)</f>
        <v>1600</v>
      </c>
    </row>
    <row r="59" spans="1:5" ht="12.75">
      <c r="A59">
        <v>314</v>
      </c>
      <c r="B59" t="s">
        <v>113</v>
      </c>
      <c r="C59">
        <v>4407</v>
      </c>
      <c r="E59">
        <f>VLOOKUP(A59,Workings!A:P,15,FALSE)</f>
        <v>1600</v>
      </c>
    </row>
    <row r="60" spans="1:5" ht="12.75">
      <c r="A60">
        <v>315</v>
      </c>
      <c r="B60" t="s">
        <v>114</v>
      </c>
      <c r="C60">
        <v>1640</v>
      </c>
      <c r="E60" t="e">
        <f>VLOOKUP(A60,Workings!A:P,15,FALSE)</f>
        <v>#N/A</v>
      </c>
    </row>
    <row r="61" spans="1:5" ht="12.75">
      <c r="A61" t="s">
        <v>115</v>
      </c>
      <c r="B61" t="s">
        <v>116</v>
      </c>
      <c r="C61">
        <v>0</v>
      </c>
      <c r="E61" t="e">
        <f>VLOOKUP(A61,Workings!A:P,15,FALSE)</f>
        <v>#N/A</v>
      </c>
    </row>
    <row r="62" spans="1:5" ht="12.75">
      <c r="A62">
        <v>316</v>
      </c>
      <c r="B62" t="s">
        <v>117</v>
      </c>
      <c r="C62">
        <v>3061</v>
      </c>
      <c r="E62">
        <f>VLOOKUP(A62,Workings!A:P,15,FALSE)</f>
        <v>1600</v>
      </c>
    </row>
    <row r="63" spans="1:5" ht="12.75">
      <c r="A63">
        <v>317</v>
      </c>
      <c r="B63" t="s">
        <v>118</v>
      </c>
      <c r="C63">
        <v>2876</v>
      </c>
      <c r="E63">
        <f>VLOOKUP(A63,Workings!A:P,15,FALSE)</f>
        <v>1600</v>
      </c>
    </row>
    <row r="64" spans="1:5" ht="12.75">
      <c r="A64">
        <v>318</v>
      </c>
      <c r="B64" t="s">
        <v>119</v>
      </c>
      <c r="C64">
        <v>975</v>
      </c>
      <c r="E64">
        <f>VLOOKUP(A64,Workings!A:P,15,FALSE)</f>
        <v>1600</v>
      </c>
    </row>
    <row r="65" spans="1:5" ht="12.75">
      <c r="A65">
        <v>319</v>
      </c>
      <c r="B65" t="s">
        <v>120</v>
      </c>
      <c r="C65">
        <v>7669</v>
      </c>
      <c r="E65">
        <f>VLOOKUP(A65,Workings!A:P,15,FALSE)</f>
        <v>1600</v>
      </c>
    </row>
    <row r="66" spans="1:5" ht="12.75">
      <c r="A66">
        <v>320</v>
      </c>
      <c r="B66" t="s">
        <v>121</v>
      </c>
      <c r="C66">
        <v>11302</v>
      </c>
      <c r="E66">
        <f>VLOOKUP(A66,Workings!A:P,15,FALSE)</f>
        <v>1600</v>
      </c>
    </row>
    <row r="67" spans="1:5" ht="12.75">
      <c r="A67">
        <v>322</v>
      </c>
      <c r="B67" t="s">
        <v>122</v>
      </c>
      <c r="C67">
        <v>5736</v>
      </c>
      <c r="E67">
        <f>VLOOKUP(A67,Workings!A:P,15,FALSE)</f>
        <v>1600</v>
      </c>
    </row>
    <row r="68" spans="1:5" ht="12.75">
      <c r="A68">
        <v>324</v>
      </c>
      <c r="B68" t="s">
        <v>123</v>
      </c>
      <c r="C68">
        <v>22000</v>
      </c>
      <c r="E68">
        <f>VLOOKUP(A68,Workings!A:P,15,FALSE)</f>
        <v>1600</v>
      </c>
    </row>
    <row r="69" spans="1:5" ht="12.75">
      <c r="A69">
        <v>325</v>
      </c>
      <c r="B69" t="s">
        <v>124</v>
      </c>
      <c r="C69">
        <v>1000</v>
      </c>
      <c r="E69">
        <f>VLOOKUP(A69,Workings!A:P,15,FALSE)</f>
        <v>1600</v>
      </c>
    </row>
    <row r="70" spans="1:5" ht="12.75">
      <c r="A70">
        <v>326</v>
      </c>
      <c r="B70" t="s">
        <v>125</v>
      </c>
      <c r="C70">
        <v>955</v>
      </c>
      <c r="E70">
        <f>VLOOKUP(A70,Workings!A:P,15,FALSE)</f>
        <v>1600</v>
      </c>
    </row>
    <row r="71" spans="1:5" ht="12.75">
      <c r="A71">
        <v>330</v>
      </c>
      <c r="B71" t="s">
        <v>126</v>
      </c>
      <c r="C71">
        <v>2500</v>
      </c>
      <c r="E71">
        <f>VLOOKUP(A71,Workings!A:P,15,FALSE)</f>
        <v>1680</v>
      </c>
    </row>
    <row r="72" spans="1:5" ht="12.75">
      <c r="A72">
        <v>331</v>
      </c>
      <c r="B72" t="s">
        <v>127</v>
      </c>
      <c r="C72">
        <v>1000</v>
      </c>
      <c r="E72">
        <f>VLOOKUP(A72,Workings!A:P,15,FALSE)</f>
        <v>1600</v>
      </c>
    </row>
    <row r="73" spans="1:5" ht="12.75">
      <c r="A73">
        <v>332</v>
      </c>
      <c r="B73" t="s">
        <v>128</v>
      </c>
      <c r="C73">
        <v>25000</v>
      </c>
      <c r="E73">
        <f>VLOOKUP(A73,Workings!A:P,15,FALSE)</f>
        <v>2100</v>
      </c>
    </row>
    <row r="74" spans="1:5" ht="12.75">
      <c r="A74" t="s">
        <v>129</v>
      </c>
      <c r="B74" t="s">
        <v>130</v>
      </c>
      <c r="C74">
        <v>0</v>
      </c>
      <c r="E74" t="e">
        <f>VLOOKUP(A74,Workings!A:P,15,FALSE)</f>
        <v>#N/A</v>
      </c>
    </row>
    <row r="75" spans="1:5" ht="12.75">
      <c r="A75">
        <v>333</v>
      </c>
      <c r="B75" t="s">
        <v>131</v>
      </c>
      <c r="C75">
        <v>1056</v>
      </c>
      <c r="E75">
        <f>VLOOKUP(A75,Workings!A:P,15,FALSE)</f>
        <v>1600</v>
      </c>
    </row>
    <row r="76" spans="1:5" ht="12.75">
      <c r="A76">
        <v>336</v>
      </c>
      <c r="B76" t="s">
        <v>132</v>
      </c>
      <c r="C76">
        <v>80</v>
      </c>
      <c r="E76">
        <f>VLOOKUP(A76,Workings!A:P,15,FALSE)</f>
        <v>1600</v>
      </c>
    </row>
    <row r="77" spans="1:5" ht="12.75">
      <c r="A77">
        <v>337</v>
      </c>
      <c r="B77" t="s">
        <v>133</v>
      </c>
      <c r="C77">
        <v>1000</v>
      </c>
      <c r="E77">
        <f>VLOOKUP(A77,Workings!A:P,15,FALSE)</f>
        <v>1600</v>
      </c>
    </row>
    <row r="78" spans="1:5" ht="12.75">
      <c r="A78">
        <v>338</v>
      </c>
      <c r="B78" t="s">
        <v>134</v>
      </c>
      <c r="C78">
        <v>1000</v>
      </c>
      <c r="E78">
        <f>VLOOKUP(A78,Workings!A:P,15,FALSE)</f>
        <v>1600</v>
      </c>
    </row>
    <row r="79" spans="1:5" ht="12.75">
      <c r="A79">
        <v>340</v>
      </c>
      <c r="B79" t="s">
        <v>135</v>
      </c>
      <c r="C79">
        <v>11300</v>
      </c>
      <c r="E79">
        <f>VLOOKUP(A79,Workings!A:P,15,FALSE)</f>
        <v>1630</v>
      </c>
    </row>
    <row r="80" spans="1:5" ht="12.75">
      <c r="A80">
        <v>341</v>
      </c>
      <c r="B80" t="s">
        <v>136</v>
      </c>
      <c r="C80">
        <v>0</v>
      </c>
      <c r="E80">
        <f>VLOOKUP(A80,Workings!A:P,15,FALSE)</f>
        <v>1630</v>
      </c>
    </row>
    <row r="81" spans="1:5" ht="12.75">
      <c r="A81">
        <v>342</v>
      </c>
      <c r="B81" t="s">
        <v>137</v>
      </c>
      <c r="C81">
        <v>0</v>
      </c>
      <c r="E81">
        <f>VLOOKUP(A81,Workings!A:P,15,FALSE)</f>
        <v>1630</v>
      </c>
    </row>
    <row r="82" spans="1:5" ht="12.75">
      <c r="A82">
        <v>343</v>
      </c>
      <c r="B82" t="s">
        <v>138</v>
      </c>
      <c r="C82">
        <v>300</v>
      </c>
      <c r="E82" t="e">
        <f>VLOOKUP(A82,Workings!A:P,15,FALSE)</f>
        <v>#N/A</v>
      </c>
    </row>
    <row r="83" spans="1:5" ht="12.75">
      <c r="A83">
        <v>344</v>
      </c>
      <c r="B83" t="s">
        <v>139</v>
      </c>
      <c r="C83">
        <v>833</v>
      </c>
      <c r="E83">
        <f>VLOOKUP(A83,Workings!A:P,15,FALSE)</f>
        <v>1630</v>
      </c>
    </row>
    <row r="84" spans="1:5" ht="12.75">
      <c r="A84">
        <v>346</v>
      </c>
      <c r="B84" t="s">
        <v>140</v>
      </c>
      <c r="C84">
        <v>1200</v>
      </c>
      <c r="E84">
        <f>VLOOKUP(A84,Workings!A:P,15,FALSE)</f>
        <v>1630</v>
      </c>
    </row>
    <row r="85" spans="1:5" ht="12.75">
      <c r="A85">
        <v>348</v>
      </c>
      <c r="B85" t="s">
        <v>141</v>
      </c>
      <c r="C85">
        <v>7500</v>
      </c>
      <c r="E85">
        <f>VLOOKUP(A85,Workings!A:P,15,FALSE)</f>
        <v>1670</v>
      </c>
    </row>
    <row r="86" spans="1:5" ht="12.75">
      <c r="A86">
        <v>349</v>
      </c>
      <c r="B86" t="s">
        <v>142</v>
      </c>
      <c r="C86">
        <v>100</v>
      </c>
      <c r="E86">
        <f>VLOOKUP(A86,Workings!A:P,15,FALSE)</f>
        <v>1630</v>
      </c>
    </row>
    <row r="87" spans="1:5" ht="12.75">
      <c r="A87">
        <v>350</v>
      </c>
      <c r="B87" t="s">
        <v>143</v>
      </c>
      <c r="C87">
        <v>2000</v>
      </c>
      <c r="E87">
        <f>VLOOKUP(A87,Workings!A:P,15,FALSE)</f>
        <v>1650</v>
      </c>
    </row>
    <row r="88" spans="1:5" ht="12.75">
      <c r="A88">
        <v>351</v>
      </c>
      <c r="B88" t="s">
        <v>144</v>
      </c>
      <c r="C88">
        <v>15700</v>
      </c>
      <c r="E88">
        <f>VLOOKUP(A88,Workings!A:P,15,FALSE)</f>
        <v>1650</v>
      </c>
    </row>
    <row r="89" spans="1:5" ht="12.75">
      <c r="A89">
        <v>352</v>
      </c>
      <c r="B89" t="s">
        <v>538</v>
      </c>
      <c r="C89">
        <v>0</v>
      </c>
      <c r="E89" t="e">
        <f>VLOOKUP(A89,Workings!A:P,15,FALSE)</f>
        <v>#N/A</v>
      </c>
    </row>
    <row r="90" spans="1:5" ht="12.75">
      <c r="A90">
        <v>354</v>
      </c>
      <c r="B90" t="s">
        <v>146</v>
      </c>
      <c r="C90">
        <v>0</v>
      </c>
      <c r="E90">
        <f>VLOOKUP(A90,Workings!A:P,15,FALSE)</f>
        <v>1640</v>
      </c>
    </row>
    <row r="91" spans="1:5" ht="12.75">
      <c r="A91" t="s">
        <v>531</v>
      </c>
      <c r="B91" t="s">
        <v>532</v>
      </c>
      <c r="E91">
        <f>VLOOKUP(A91,Workings!A:P,15,FALSE)</f>
        <v>1640</v>
      </c>
    </row>
    <row r="92" spans="1:5" ht="12.75">
      <c r="A92">
        <v>356</v>
      </c>
      <c r="B92" t="s">
        <v>147</v>
      </c>
      <c r="C92">
        <v>354</v>
      </c>
      <c r="E92" t="e">
        <f>VLOOKUP(A92,Workings!A:P,15,FALSE)</f>
        <v>#N/A</v>
      </c>
    </row>
    <row r="93" spans="1:5" ht="12.75">
      <c r="A93">
        <v>357</v>
      </c>
      <c r="B93" t="s">
        <v>539</v>
      </c>
      <c r="C93">
        <v>0</v>
      </c>
      <c r="E93">
        <f>VLOOKUP(A93,Workings!A:P,15,FALSE)</f>
        <v>1640</v>
      </c>
    </row>
    <row r="94" spans="1:5" ht="12.75">
      <c r="A94">
        <v>358</v>
      </c>
      <c r="B94" t="s">
        <v>149</v>
      </c>
      <c r="C94">
        <v>16770</v>
      </c>
      <c r="E94">
        <f>VLOOKUP(A94,Workings!A:P,15,FALSE)</f>
        <v>1650</v>
      </c>
    </row>
    <row r="95" spans="1:5" ht="12.75">
      <c r="A95">
        <v>360</v>
      </c>
      <c r="B95" t="s">
        <v>150</v>
      </c>
      <c r="C95">
        <v>0</v>
      </c>
      <c r="E95">
        <f>VLOOKUP(A95,Workings!A:P,15,FALSE)</f>
        <v>5300</v>
      </c>
    </row>
    <row r="96" spans="1:5" ht="12.75">
      <c r="A96" t="s">
        <v>151</v>
      </c>
      <c r="B96" t="s">
        <v>152</v>
      </c>
      <c r="C96">
        <v>34890</v>
      </c>
      <c r="E96" t="e">
        <f>VLOOKUP(A96,Workings!A:P,15,FALSE)</f>
        <v>#N/A</v>
      </c>
    </row>
    <row r="97" spans="1:5" ht="12.75">
      <c r="A97">
        <v>366</v>
      </c>
      <c r="B97" t="s">
        <v>153</v>
      </c>
      <c r="C97">
        <v>12000</v>
      </c>
      <c r="E97">
        <f>VLOOKUP(A97,Workings!A:P,15,FALSE)</f>
        <v>1600</v>
      </c>
    </row>
    <row r="98" spans="1:5" ht="12.75">
      <c r="A98">
        <v>367</v>
      </c>
      <c r="B98" t="s">
        <v>154</v>
      </c>
      <c r="C98">
        <v>493</v>
      </c>
      <c r="E98">
        <f>VLOOKUP(A98,Workings!A:P,15,FALSE)</f>
        <v>1650</v>
      </c>
    </row>
    <row r="99" spans="1:5" ht="12.75">
      <c r="A99">
        <v>369</v>
      </c>
      <c r="B99" t="s">
        <v>155</v>
      </c>
      <c r="C99">
        <v>20000</v>
      </c>
      <c r="E99">
        <f>VLOOKUP(A99,Workings!A:P,15,FALSE)</f>
        <v>1620</v>
      </c>
    </row>
    <row r="100" spans="1:5" ht="12.75">
      <c r="A100">
        <v>376</v>
      </c>
      <c r="B100" t="s">
        <v>156</v>
      </c>
      <c r="C100">
        <v>0</v>
      </c>
      <c r="E100" t="e">
        <f>VLOOKUP(A100,Workings!A:P,15,FALSE)</f>
        <v>#N/A</v>
      </c>
    </row>
    <row r="101" spans="1:5" ht="12.75">
      <c r="A101">
        <v>501</v>
      </c>
      <c r="B101" t="s">
        <v>157</v>
      </c>
      <c r="C101">
        <v>96000</v>
      </c>
      <c r="E101" t="e">
        <f>VLOOKUP(A101,Workings!A:P,15,FALSE)</f>
        <v>#N/A</v>
      </c>
    </row>
    <row r="102" spans="1:5" ht="12.75">
      <c r="A102">
        <v>502</v>
      </c>
      <c r="B102" t="s">
        <v>158</v>
      </c>
      <c r="C102">
        <v>7000</v>
      </c>
      <c r="E102">
        <f>VLOOKUP(A102,Workings!A:P,15,FALSE)</f>
        <v>1810</v>
      </c>
    </row>
    <row r="103" spans="1:5" ht="12.75">
      <c r="A103">
        <v>503</v>
      </c>
      <c r="B103" t="s">
        <v>159</v>
      </c>
      <c r="C103">
        <v>16500</v>
      </c>
      <c r="E103">
        <f>VLOOKUP(A103,Workings!A:P,15,FALSE)</f>
        <v>1800</v>
      </c>
    </row>
    <row r="104" spans="1:5" ht="12.75">
      <c r="A104">
        <v>504</v>
      </c>
      <c r="B104" t="s">
        <v>160</v>
      </c>
      <c r="C104">
        <v>0</v>
      </c>
      <c r="E104">
        <f>VLOOKUP(A104,Workings!A:P,15,FALSE)</f>
        <v>2010</v>
      </c>
    </row>
    <row r="105" spans="1:5" ht="12.75">
      <c r="A105">
        <v>505</v>
      </c>
      <c r="B105" t="s">
        <v>161</v>
      </c>
      <c r="C105">
        <v>162000</v>
      </c>
      <c r="E105">
        <f>VLOOKUP(A105,Workings!A:P,15,FALSE)</f>
        <v>1610</v>
      </c>
    </row>
    <row r="106" spans="1:5" ht="12.75">
      <c r="A106">
        <v>506</v>
      </c>
      <c r="B106" t="s">
        <v>162</v>
      </c>
      <c r="C106">
        <v>700</v>
      </c>
      <c r="E106">
        <f>VLOOKUP(A106,Workings!A:P,15,FALSE)</f>
        <v>1630</v>
      </c>
    </row>
    <row r="107" spans="1:5" ht="12.75">
      <c r="A107">
        <v>507</v>
      </c>
      <c r="B107" t="s">
        <v>163</v>
      </c>
      <c r="C107">
        <v>448</v>
      </c>
      <c r="E107" t="e">
        <f>VLOOKUP(A107,Workings!A:P,15,FALSE)</f>
        <v>#N/A</v>
      </c>
    </row>
    <row r="108" spans="1:5" ht="12.75">
      <c r="A108">
        <v>508</v>
      </c>
      <c r="B108" t="s">
        <v>164</v>
      </c>
      <c r="C108">
        <v>0</v>
      </c>
      <c r="E108" t="e">
        <f>VLOOKUP(A108,Workings!A:P,15,FALSE)</f>
        <v>#N/A</v>
      </c>
    </row>
    <row r="109" spans="1:5" ht="12.75">
      <c r="A109" t="s">
        <v>165</v>
      </c>
      <c r="B109" t="s">
        <v>166</v>
      </c>
      <c r="C109">
        <v>0</v>
      </c>
      <c r="E109" t="e">
        <f>VLOOKUP(A109,Workings!A:P,15,FALSE)</f>
        <v>#N/A</v>
      </c>
    </row>
    <row r="110" spans="1:5" ht="12.75">
      <c r="A110">
        <v>509</v>
      </c>
      <c r="B110" t="s">
        <v>167</v>
      </c>
      <c r="C110">
        <v>655</v>
      </c>
      <c r="E110">
        <f>VLOOKUP(A110,Workings!A:P,15,FALSE)</f>
        <v>1630</v>
      </c>
    </row>
    <row r="111" spans="1:5" ht="12.75">
      <c r="A111">
        <v>510</v>
      </c>
      <c r="B111" t="s">
        <v>168</v>
      </c>
      <c r="C111">
        <v>4850</v>
      </c>
      <c r="E111">
        <f>VLOOKUP(A111,Workings!A:P,15,FALSE)</f>
        <v>1600</v>
      </c>
    </row>
    <row r="112" spans="1:5" ht="12.75">
      <c r="A112">
        <v>511</v>
      </c>
      <c r="B112" t="s">
        <v>169</v>
      </c>
      <c r="C112">
        <v>0</v>
      </c>
      <c r="E112" t="e">
        <f>VLOOKUP(A112,Workings!A:P,15,FALSE)</f>
        <v>#N/A</v>
      </c>
    </row>
    <row r="113" spans="1:5" ht="12.75">
      <c r="A113">
        <v>512</v>
      </c>
      <c r="B113" t="s">
        <v>170</v>
      </c>
      <c r="C113">
        <v>12000</v>
      </c>
      <c r="E113" t="e">
        <f>VLOOKUP(A113,Workings!A:P,15,FALSE)</f>
        <v>#N/A</v>
      </c>
    </row>
    <row r="114" spans="1:5" ht="12.75">
      <c r="A114" t="s">
        <v>171</v>
      </c>
      <c r="B114" t="s">
        <v>172</v>
      </c>
      <c r="C114">
        <v>-17000</v>
      </c>
      <c r="E114" t="e">
        <f>VLOOKUP(A114,Workings!A:P,15,FALSE)</f>
        <v>#N/A</v>
      </c>
    </row>
    <row r="115" spans="1:5" ht="12.75">
      <c r="A115">
        <v>513</v>
      </c>
      <c r="B115" t="s">
        <v>173</v>
      </c>
      <c r="C115">
        <v>6500</v>
      </c>
      <c r="E115">
        <f>VLOOKUP(A115,Workings!A:P,15,FALSE)</f>
        <v>1680</v>
      </c>
    </row>
    <row r="116" spans="1:5" ht="12.75">
      <c r="A116">
        <v>514</v>
      </c>
      <c r="B116" t="s">
        <v>174</v>
      </c>
      <c r="C116">
        <v>-20000</v>
      </c>
      <c r="E116">
        <f>VLOOKUP(A116,Workings!A:P,15,FALSE)</f>
        <v>1600</v>
      </c>
    </row>
    <row r="117" spans="1:5" ht="12.75">
      <c r="A117">
        <v>515</v>
      </c>
      <c r="B117" t="s">
        <v>175</v>
      </c>
      <c r="C117">
        <v>17000</v>
      </c>
      <c r="E117">
        <f>VLOOKUP(A117,Workings!A:P,15,FALSE)</f>
        <v>1830</v>
      </c>
    </row>
    <row r="118" spans="1:5" ht="12.75">
      <c r="A118">
        <v>516</v>
      </c>
      <c r="B118" t="s">
        <v>176</v>
      </c>
      <c r="C118">
        <v>-1000</v>
      </c>
      <c r="E118">
        <f>VLOOKUP(A118,Workings!A:P,15,FALSE)</f>
        <v>5300</v>
      </c>
    </row>
    <row r="119" spans="1:5" ht="12.75">
      <c r="A119">
        <v>517</v>
      </c>
      <c r="B119" t="s">
        <v>177</v>
      </c>
      <c r="C119">
        <v>3500</v>
      </c>
      <c r="E119">
        <f>VLOOKUP(A119,Workings!A:P,15,FALSE)</f>
        <v>2200</v>
      </c>
    </row>
    <row r="120" spans="1:5" ht="12.75">
      <c r="A120">
        <v>518</v>
      </c>
      <c r="B120" t="s">
        <v>178</v>
      </c>
      <c r="C120">
        <v>15000</v>
      </c>
      <c r="E120">
        <f>VLOOKUP(A120,Workings!A:P,15,FALSE)</f>
        <v>1830</v>
      </c>
    </row>
    <row r="121" spans="1:5" ht="12.75">
      <c r="A121">
        <v>519</v>
      </c>
      <c r="B121" t="s">
        <v>179</v>
      </c>
      <c r="C121">
        <v>45782</v>
      </c>
      <c r="E121">
        <f>VLOOKUP(A121,Workings!A:P,15,FALSE)</f>
        <v>1820</v>
      </c>
    </row>
    <row r="122" spans="1:5" ht="12.75">
      <c r="A122">
        <v>520</v>
      </c>
      <c r="B122" t="s">
        <v>180</v>
      </c>
      <c r="C122">
        <v>3000</v>
      </c>
      <c r="E122">
        <f>VLOOKUP(A122,Workings!A:P,15,FALSE)</f>
        <v>1680</v>
      </c>
    </row>
    <row r="123" spans="1:5" ht="12.75">
      <c r="A123">
        <v>522</v>
      </c>
      <c r="B123" t="s">
        <v>181</v>
      </c>
      <c r="C123">
        <v>0</v>
      </c>
      <c r="E123">
        <f>VLOOKUP(A123,Workings!A:P,15,FALSE)</f>
        <v>2230</v>
      </c>
    </row>
    <row r="124" spans="1:5" ht="12.75">
      <c r="A124">
        <v>523</v>
      </c>
      <c r="B124" t="s">
        <v>182</v>
      </c>
      <c r="C124">
        <v>0</v>
      </c>
      <c r="E124" t="e">
        <f>VLOOKUP(A124,Workings!A:P,15,FALSE)</f>
        <v>#N/A</v>
      </c>
    </row>
    <row r="125" spans="1:5" ht="12.75">
      <c r="A125">
        <v>526</v>
      </c>
      <c r="B125" t="s">
        <v>183</v>
      </c>
      <c r="C125">
        <v>20000</v>
      </c>
      <c r="E125">
        <f>VLOOKUP(A125,Workings!A:P,15,FALSE)</f>
        <v>2200</v>
      </c>
    </row>
    <row r="126" spans="1:5" ht="12.75">
      <c r="A126">
        <v>527</v>
      </c>
      <c r="B126" t="s">
        <v>184</v>
      </c>
      <c r="C126">
        <v>15100</v>
      </c>
      <c r="E126">
        <f>VLOOKUP(A126,Workings!A:P,15,FALSE)</f>
        <v>1620</v>
      </c>
    </row>
    <row r="127" spans="1:5" ht="12.75">
      <c r="A127">
        <v>531</v>
      </c>
      <c r="B127" t="s">
        <v>185</v>
      </c>
      <c r="C127">
        <v>26003</v>
      </c>
      <c r="E127">
        <f>VLOOKUP(A127,Workings!A:P,15,FALSE)</f>
        <v>1640</v>
      </c>
    </row>
    <row r="128" spans="1:5" ht="12.75">
      <c r="A128">
        <v>535</v>
      </c>
      <c r="B128" t="s">
        <v>186</v>
      </c>
      <c r="C128">
        <v>0</v>
      </c>
      <c r="E128" t="e">
        <f>VLOOKUP(A128,Workings!A:P,15,FALSE)</f>
        <v>#N/A</v>
      </c>
    </row>
    <row r="129" spans="1:5" ht="12.75">
      <c r="A129">
        <v>536</v>
      </c>
      <c r="B129" t="s">
        <v>187</v>
      </c>
      <c r="C129">
        <v>3000</v>
      </c>
      <c r="E129">
        <f>VLOOKUP(A129,Workings!A:P,15,FALSE)</f>
        <v>1640</v>
      </c>
    </row>
    <row r="130" spans="1:5" ht="12.75">
      <c r="A130">
        <v>539</v>
      </c>
      <c r="B130" t="s">
        <v>188</v>
      </c>
      <c r="C130">
        <v>71860</v>
      </c>
      <c r="E130">
        <f>VLOOKUP(A130,Workings!A:P,15,FALSE)</f>
        <v>1650</v>
      </c>
    </row>
    <row r="131" spans="1:5" ht="12.75">
      <c r="A131">
        <v>540</v>
      </c>
      <c r="B131" t="s">
        <v>189</v>
      </c>
      <c r="C131">
        <v>-195000</v>
      </c>
      <c r="E131">
        <f>VLOOKUP(A131,Workings!A:P,15,FALSE)</f>
        <v>1810</v>
      </c>
    </row>
    <row r="132" spans="1:5" ht="12.75">
      <c r="A132">
        <v>541</v>
      </c>
      <c r="B132" t="s">
        <v>190</v>
      </c>
      <c r="C132">
        <v>0</v>
      </c>
      <c r="E132">
        <f>VLOOKUP(A132,Workings!A:P,15,FALSE)</f>
        <v>1640</v>
      </c>
    </row>
    <row r="133" spans="1:5" ht="12.75">
      <c r="A133" t="s">
        <v>191</v>
      </c>
      <c r="B133" t="s">
        <v>192</v>
      </c>
      <c r="C133">
        <v>0</v>
      </c>
      <c r="E133" t="e">
        <f>VLOOKUP(A133,Workings!A:P,15,FALSE)</f>
        <v>#N/A</v>
      </c>
    </row>
    <row r="134" spans="1:5" ht="12.75">
      <c r="A134">
        <v>542</v>
      </c>
      <c r="B134" t="s">
        <v>193</v>
      </c>
      <c r="C134">
        <v>0</v>
      </c>
      <c r="E134">
        <f>VLOOKUP(A134,Workings!A:P,15,FALSE)</f>
        <v>9900</v>
      </c>
    </row>
    <row r="135" spans="1:5" ht="12.75">
      <c r="A135">
        <v>543</v>
      </c>
      <c r="B135" t="s">
        <v>194</v>
      </c>
      <c r="C135">
        <v>283</v>
      </c>
      <c r="E135" t="e">
        <f>VLOOKUP(A135,Workings!A:P,15,FALSE)</f>
        <v>#N/A</v>
      </c>
    </row>
    <row r="136" spans="1:5" ht="12.75">
      <c r="A136">
        <v>544</v>
      </c>
      <c r="B136" t="s">
        <v>195</v>
      </c>
      <c r="C136">
        <v>900</v>
      </c>
      <c r="E136">
        <f>VLOOKUP(A136,Workings!A:P,15,FALSE)</f>
        <v>1820</v>
      </c>
    </row>
    <row r="137" spans="1:5" ht="12.75">
      <c r="A137">
        <v>545</v>
      </c>
      <c r="B137" t="s">
        <v>196</v>
      </c>
      <c r="C137">
        <v>180</v>
      </c>
      <c r="E137">
        <f>VLOOKUP(A137,Workings!A:P,15,FALSE)</f>
        <v>5300</v>
      </c>
    </row>
    <row r="138" spans="1:5" ht="12.75">
      <c r="A138">
        <v>548</v>
      </c>
      <c r="B138" t="s">
        <v>197</v>
      </c>
      <c r="C138">
        <v>178893</v>
      </c>
      <c r="E138">
        <f>VLOOKUP(A138,Workings!A:P,15,FALSE)</f>
        <v>2000</v>
      </c>
    </row>
    <row r="139" spans="1:5" ht="12.75">
      <c r="A139">
        <v>550</v>
      </c>
      <c r="B139" t="s">
        <v>198</v>
      </c>
      <c r="C139">
        <v>8153</v>
      </c>
      <c r="E139">
        <f>VLOOKUP(A139,Workings!A:P,15,FALSE)</f>
        <v>5300</v>
      </c>
    </row>
    <row r="140" spans="1:5" ht="12.75">
      <c r="A140">
        <v>551</v>
      </c>
      <c r="B140" t="s">
        <v>199</v>
      </c>
      <c r="C140">
        <v>0</v>
      </c>
      <c r="E140" t="e">
        <f>VLOOKUP(A140,Workings!A:P,15,FALSE)</f>
        <v>#N/A</v>
      </c>
    </row>
    <row r="141" spans="1:5" ht="12.75">
      <c r="A141">
        <v>552</v>
      </c>
      <c r="B141" t="s">
        <v>524</v>
      </c>
      <c r="C141">
        <v>409</v>
      </c>
      <c r="E141">
        <f>VLOOKUP(A141,Workings!A:P,15,FALSE)</f>
        <v>5300</v>
      </c>
    </row>
    <row r="142" spans="1:5" ht="12.75">
      <c r="A142">
        <v>557</v>
      </c>
      <c r="B142" t="s">
        <v>201</v>
      </c>
      <c r="C142">
        <v>5000</v>
      </c>
      <c r="E142">
        <f>VLOOKUP(A142,Workings!A:P,15,FALSE)</f>
        <v>1640</v>
      </c>
    </row>
    <row r="143" spans="1:5" ht="12.75">
      <c r="A143">
        <v>559</v>
      </c>
      <c r="B143" t="s">
        <v>202</v>
      </c>
      <c r="C143">
        <v>0</v>
      </c>
      <c r="E143" t="e">
        <f>VLOOKUP(A143,Workings!A:P,15,FALSE)</f>
        <v>#N/A</v>
      </c>
    </row>
    <row r="144" spans="1:5" ht="12.75">
      <c r="A144">
        <v>560</v>
      </c>
      <c r="B144" t="s">
        <v>203</v>
      </c>
      <c r="C144">
        <v>3500</v>
      </c>
      <c r="E144">
        <f>VLOOKUP(A144,Workings!A:P,15,FALSE)</f>
        <v>1800</v>
      </c>
    </row>
    <row r="145" spans="1:5" ht="12.75">
      <c r="A145">
        <v>561</v>
      </c>
      <c r="B145" t="s">
        <v>204</v>
      </c>
      <c r="C145">
        <v>0</v>
      </c>
      <c r="E145" t="e">
        <f>VLOOKUP(A145,Workings!A:P,15,FALSE)</f>
        <v>#N/A</v>
      </c>
    </row>
    <row r="146" spans="1:5" ht="12.75">
      <c r="A146">
        <v>564</v>
      </c>
      <c r="B146" t="s">
        <v>205</v>
      </c>
      <c r="C146">
        <v>36000</v>
      </c>
      <c r="E146">
        <f>VLOOKUP(A146,Workings!A:P,15,FALSE)</f>
        <v>1640</v>
      </c>
    </row>
    <row r="147" spans="1:5" ht="12.75">
      <c r="A147">
        <v>565</v>
      </c>
      <c r="B147" t="s">
        <v>206</v>
      </c>
      <c r="C147">
        <v>8000</v>
      </c>
      <c r="E147">
        <f>VLOOKUP(A147,Workings!A:P,15,FALSE)</f>
        <v>2200</v>
      </c>
    </row>
    <row r="148" spans="1:5" ht="12.75">
      <c r="A148">
        <v>569</v>
      </c>
      <c r="B148" t="s">
        <v>207</v>
      </c>
      <c r="C148">
        <v>0</v>
      </c>
      <c r="E148" t="e">
        <f>VLOOKUP(A148,Workings!A:P,15,FALSE)</f>
        <v>#N/A</v>
      </c>
    </row>
    <row r="149" spans="1:5" ht="12.75">
      <c r="A149">
        <v>570</v>
      </c>
      <c r="B149" t="s">
        <v>208</v>
      </c>
      <c r="C149">
        <v>0</v>
      </c>
      <c r="E149" t="e">
        <f>VLOOKUP(A149,Workings!A:P,15,FALSE)</f>
        <v>#N/A</v>
      </c>
    </row>
    <row r="150" spans="1:5" ht="12.75">
      <c r="A150">
        <v>572</v>
      </c>
      <c r="B150" t="s">
        <v>209</v>
      </c>
      <c r="C150">
        <v>0</v>
      </c>
      <c r="E150" t="e">
        <f>VLOOKUP(A150,Workings!A:P,15,FALSE)</f>
        <v>#N/A</v>
      </c>
    </row>
    <row r="151" spans="1:5" ht="12.75">
      <c r="A151">
        <v>573</v>
      </c>
      <c r="B151" t="s">
        <v>210</v>
      </c>
      <c r="C151">
        <v>0</v>
      </c>
      <c r="E151" t="e">
        <f>VLOOKUP(A151,Workings!A:P,15,FALSE)</f>
        <v>#N/A</v>
      </c>
    </row>
    <row r="152" spans="1:5" ht="12.75">
      <c r="A152">
        <v>576</v>
      </c>
      <c r="B152" t="s">
        <v>211</v>
      </c>
      <c r="C152">
        <v>2712</v>
      </c>
      <c r="E152">
        <f>VLOOKUP(A152,Workings!A:P,15,FALSE)</f>
        <v>1600</v>
      </c>
    </row>
    <row r="153" spans="1:5" ht="12.75">
      <c r="A153">
        <v>577</v>
      </c>
      <c r="B153" t="s">
        <v>540</v>
      </c>
      <c r="C153">
        <v>0</v>
      </c>
      <c r="E153" t="e">
        <f>VLOOKUP(A153,Workings!A:P,15,FALSE)</f>
        <v>#N/A</v>
      </c>
    </row>
    <row r="154" spans="1:5" ht="12.75">
      <c r="A154">
        <v>578</v>
      </c>
      <c r="B154" t="s">
        <v>213</v>
      </c>
      <c r="C154">
        <v>774</v>
      </c>
      <c r="E154" t="e">
        <f>VLOOKUP(A154,Workings!A:P,15,FALSE)</f>
        <v>#N/A</v>
      </c>
    </row>
    <row r="155" spans="1:5" ht="12.75">
      <c r="A155">
        <v>601</v>
      </c>
      <c r="B155" t="s">
        <v>214</v>
      </c>
      <c r="C155">
        <v>0</v>
      </c>
      <c r="E155">
        <f>VLOOKUP(A155,Workings!A:P,15,FALSE)</f>
        <v>1825</v>
      </c>
    </row>
    <row r="156" spans="1:5" ht="12.75">
      <c r="A156">
        <v>602</v>
      </c>
      <c r="B156" t="s">
        <v>215</v>
      </c>
      <c r="C156">
        <v>125350</v>
      </c>
      <c r="E156">
        <f>VLOOKUP(A156,Workings!A:P,15,FALSE)</f>
        <v>1500</v>
      </c>
    </row>
    <row r="157" spans="1:5" ht="12.75">
      <c r="A157">
        <v>604</v>
      </c>
      <c r="B157" t="s">
        <v>216</v>
      </c>
      <c r="C157">
        <v>5000</v>
      </c>
      <c r="E157">
        <f>VLOOKUP(A157,Workings!A:P,15,FALSE)</f>
        <v>1900</v>
      </c>
    </row>
    <row r="158" spans="1:5" ht="12.75">
      <c r="A158">
        <v>605</v>
      </c>
      <c r="B158" t="s">
        <v>217</v>
      </c>
      <c r="C158">
        <v>64616</v>
      </c>
      <c r="E158">
        <f>VLOOKUP(A158,Workings!A:P,15,FALSE)</f>
        <v>1410</v>
      </c>
    </row>
    <row r="159" spans="1:5" ht="12.75">
      <c r="A159">
        <v>606</v>
      </c>
      <c r="B159" t="s">
        <v>218</v>
      </c>
      <c r="C159">
        <v>21000</v>
      </c>
      <c r="E159">
        <f>VLOOKUP(A159,Workings!A:P,15,FALSE)</f>
        <v>1420</v>
      </c>
    </row>
    <row r="160" spans="1:5" ht="12.75">
      <c r="A160">
        <v>607</v>
      </c>
      <c r="B160" t="s">
        <v>219</v>
      </c>
      <c r="C160">
        <v>35994</v>
      </c>
      <c r="E160">
        <f>VLOOKUP(A160,Workings!A:P,15,FALSE)</f>
        <v>1540</v>
      </c>
    </row>
    <row r="161" spans="1:5" ht="12.75">
      <c r="A161">
        <v>608</v>
      </c>
      <c r="B161" t="s">
        <v>220</v>
      </c>
      <c r="C161">
        <v>31393</v>
      </c>
      <c r="E161">
        <f>VLOOKUP(A161,Workings!A:P,15,FALSE)</f>
        <v>1530</v>
      </c>
    </row>
    <row r="162" spans="1:5" ht="12.75">
      <c r="A162">
        <v>609</v>
      </c>
      <c r="B162" t="s">
        <v>221</v>
      </c>
      <c r="C162">
        <v>-75000</v>
      </c>
      <c r="E162">
        <f>VLOOKUP(A162,Workings!A:P,15,FALSE)</f>
        <v>5300</v>
      </c>
    </row>
    <row r="163" spans="1:5" ht="12.75">
      <c r="A163">
        <v>610</v>
      </c>
      <c r="B163" t="s">
        <v>533</v>
      </c>
      <c r="E163" t="e">
        <f>VLOOKUP(A163,Workings!A:P,15,FALSE)</f>
        <v>#N/A</v>
      </c>
    </row>
    <row r="164" spans="1:5" ht="12.75">
      <c r="A164">
        <v>611</v>
      </c>
      <c r="B164" t="s">
        <v>222</v>
      </c>
      <c r="C164">
        <v>16000</v>
      </c>
      <c r="E164">
        <f>VLOOKUP(A164,Workings!A:P,15,FALSE)</f>
        <v>1430</v>
      </c>
    </row>
    <row r="165" spans="1:5" ht="12.75">
      <c r="A165">
        <v>612</v>
      </c>
      <c r="B165" t="s">
        <v>223</v>
      </c>
      <c r="C165">
        <v>24000</v>
      </c>
      <c r="E165">
        <f>VLOOKUP(A165,Workings!A:P,15,FALSE)</f>
        <v>1520</v>
      </c>
    </row>
    <row r="166" spans="1:5" ht="12.75">
      <c r="A166">
        <v>613</v>
      </c>
      <c r="B166" t="s">
        <v>224</v>
      </c>
      <c r="C166">
        <v>143225</v>
      </c>
      <c r="E166">
        <f>VLOOKUP(A166,Workings!A:P,15,FALSE)</f>
        <v>1510</v>
      </c>
    </row>
    <row r="167" spans="1:5" ht="12.75">
      <c r="A167">
        <v>614</v>
      </c>
      <c r="B167" t="s">
        <v>225</v>
      </c>
      <c r="C167">
        <v>1358</v>
      </c>
      <c r="E167" t="e">
        <f>VLOOKUP(A167,Workings!A:P,15,FALSE)</f>
        <v>#N/A</v>
      </c>
    </row>
    <row r="168" spans="1:5" ht="12.75">
      <c r="A168">
        <v>615</v>
      </c>
      <c r="B168" t="s">
        <v>226</v>
      </c>
      <c r="C168">
        <v>0</v>
      </c>
      <c r="E168">
        <f>VLOOKUP(A168,Workings!A:P,15,FALSE)</f>
        <v>1540</v>
      </c>
    </row>
    <row r="169" spans="1:5" ht="12.75">
      <c r="A169" t="s">
        <v>227</v>
      </c>
      <c r="B169" t="s">
        <v>228</v>
      </c>
      <c r="C169">
        <v>0</v>
      </c>
      <c r="E169">
        <f>VLOOKUP(A169,Workings!A:P,15,FALSE)</f>
        <v>1540</v>
      </c>
    </row>
    <row r="170" spans="1:5" ht="12.75">
      <c r="A170">
        <v>640</v>
      </c>
      <c r="B170" t="s">
        <v>229</v>
      </c>
      <c r="C170">
        <v>-32250</v>
      </c>
      <c r="E170">
        <f>VLOOKUP(A170,Workings!A:P,15,FALSE)</f>
        <v>5300</v>
      </c>
    </row>
    <row r="171" spans="1:5" ht="12.75">
      <c r="A171" t="s">
        <v>230</v>
      </c>
      <c r="B171" t="s">
        <v>231</v>
      </c>
      <c r="C171">
        <v>17000</v>
      </c>
      <c r="E171">
        <f>VLOOKUP(A171,Workings!A:P,15,FALSE)</f>
        <v>3100</v>
      </c>
    </row>
    <row r="172" spans="1:5" ht="12.75">
      <c r="A172">
        <v>649</v>
      </c>
      <c r="B172" t="s">
        <v>232</v>
      </c>
      <c r="C172">
        <v>0</v>
      </c>
      <c r="E172">
        <f>VLOOKUP(A172,Workings!A:P,15,FALSE)</f>
        <v>6200</v>
      </c>
    </row>
    <row r="173" spans="1:5" ht="12.75">
      <c r="A173">
        <v>650</v>
      </c>
      <c r="B173" t="s">
        <v>233</v>
      </c>
      <c r="C173">
        <v>-13618</v>
      </c>
      <c r="E173">
        <f>VLOOKUP(A173,Workings!A:P,15,FALSE)</f>
        <v>9100</v>
      </c>
    </row>
    <row r="174" spans="1:5" ht="12.75">
      <c r="A174">
        <v>651</v>
      </c>
      <c r="B174" t="s">
        <v>525</v>
      </c>
      <c r="E174">
        <f>VLOOKUP(A174,Workings!A:P,15,FALSE)</f>
        <v>9100</v>
      </c>
    </row>
    <row r="175" spans="1:5" ht="12.75">
      <c r="A175">
        <v>654</v>
      </c>
      <c r="B175" t="s">
        <v>526</v>
      </c>
      <c r="C175">
        <v>694327</v>
      </c>
      <c r="E175">
        <f>VLOOKUP(A175,Workings!A:P,15,FALSE)</f>
        <v>9100</v>
      </c>
    </row>
    <row r="176" spans="1:5" ht="12.75">
      <c r="A176">
        <v>655</v>
      </c>
      <c r="B176" t="s">
        <v>541</v>
      </c>
      <c r="E176" t="e">
        <f>VLOOKUP(A176,Workings!A:P,15,FALSE)</f>
        <v>#N/A</v>
      </c>
    </row>
    <row r="177" spans="1:5" ht="12.75">
      <c r="A177">
        <v>670</v>
      </c>
      <c r="B177" t="s">
        <v>235</v>
      </c>
      <c r="C177">
        <v>0</v>
      </c>
      <c r="E177">
        <f>VLOOKUP(A177,Workings!A:P,15,FALSE)</f>
        <v>9900</v>
      </c>
    </row>
    <row r="178" spans="1:5" ht="12.75">
      <c r="A178">
        <v>700</v>
      </c>
      <c r="B178" t="s">
        <v>236</v>
      </c>
      <c r="C178">
        <v>0</v>
      </c>
      <c r="E178" t="e">
        <f>VLOOKUP(A178,Workings!A:P,15,FALSE)</f>
        <v>#N/A</v>
      </c>
    </row>
    <row r="179" spans="1:5" ht="12.75">
      <c r="A179">
        <v>701</v>
      </c>
      <c r="B179" t="s">
        <v>237</v>
      </c>
      <c r="C179">
        <v>0</v>
      </c>
      <c r="E179" t="e">
        <f>VLOOKUP(A179,Workings!A:P,15,FALSE)</f>
        <v>#N/A</v>
      </c>
    </row>
    <row r="180" spans="1:5" ht="12.75">
      <c r="A180" t="s">
        <v>238</v>
      </c>
      <c r="B180" t="s">
        <v>239</v>
      </c>
      <c r="C180">
        <v>-53924</v>
      </c>
      <c r="E180">
        <f>VLOOKUP(A180,Workings!A:P,15,FALSE)</f>
        <v>5300</v>
      </c>
    </row>
    <row r="181" spans="1:5" ht="12.75">
      <c r="A181" t="s">
        <v>240</v>
      </c>
      <c r="B181" t="s">
        <v>241</v>
      </c>
      <c r="C181">
        <v>36130</v>
      </c>
      <c r="E181">
        <f>VLOOKUP(A181,Workings!A:P,15,FALSE)</f>
        <v>3000</v>
      </c>
    </row>
    <row r="182" spans="1:5" ht="12.75">
      <c r="A182" t="s">
        <v>242</v>
      </c>
      <c r="B182" t="s">
        <v>243</v>
      </c>
      <c r="C182">
        <v>40000</v>
      </c>
      <c r="E182">
        <f>VLOOKUP(A182,Workings!A:P,15,FALSE)</f>
        <v>3000</v>
      </c>
    </row>
    <row r="183" spans="1:5" ht="12.75">
      <c r="A183" t="s">
        <v>244</v>
      </c>
      <c r="B183" t="s">
        <v>245</v>
      </c>
      <c r="C183">
        <v>0</v>
      </c>
      <c r="E183">
        <f>VLOOKUP(A183,Workings!A:P,15,FALSE)</f>
        <v>9900</v>
      </c>
    </row>
    <row r="184" spans="1:5" ht="12.75">
      <c r="A184" t="s">
        <v>246</v>
      </c>
      <c r="B184" t="s">
        <v>247</v>
      </c>
      <c r="C184">
        <v>0</v>
      </c>
      <c r="E184" t="e">
        <f>VLOOKUP(A184,Workings!A:P,15,FALSE)</f>
        <v>#N/A</v>
      </c>
    </row>
    <row r="185" spans="1:5" ht="12.75">
      <c r="A185" t="s">
        <v>248</v>
      </c>
      <c r="B185" t="s">
        <v>249</v>
      </c>
      <c r="C185">
        <v>0</v>
      </c>
      <c r="E185">
        <f>VLOOKUP(A185,Workings!A:P,15,FALSE)</f>
        <v>2200</v>
      </c>
    </row>
    <row r="186" spans="1:5" ht="12.75">
      <c r="A186" t="s">
        <v>250</v>
      </c>
      <c r="B186" t="s">
        <v>251</v>
      </c>
      <c r="C186">
        <v>0</v>
      </c>
      <c r="E186">
        <f>VLOOKUP(A186,Workings!A:P,15,FALSE)</f>
        <v>2200</v>
      </c>
    </row>
    <row r="187" spans="1:5" ht="12.75">
      <c r="A187" t="s">
        <v>252</v>
      </c>
      <c r="B187" t="s">
        <v>253</v>
      </c>
      <c r="C187">
        <v>76293</v>
      </c>
      <c r="E187">
        <f>VLOOKUP(A187,Workings!A:P,15,FALSE)</f>
        <v>1250</v>
      </c>
    </row>
    <row r="188" spans="1:5" ht="12.75">
      <c r="A188" t="s">
        <v>254</v>
      </c>
      <c r="B188" t="s">
        <v>255</v>
      </c>
      <c r="C188">
        <v>-74057</v>
      </c>
      <c r="E188">
        <f>VLOOKUP(A188,Workings!A:P,15,FALSE)</f>
        <v>5300</v>
      </c>
    </row>
    <row r="189" spans="1:5" ht="12.75">
      <c r="A189" t="s">
        <v>256</v>
      </c>
      <c r="B189" t="s">
        <v>257</v>
      </c>
      <c r="C189">
        <v>-5670</v>
      </c>
      <c r="E189">
        <f>VLOOKUP(A189,Workings!A:P,15,FALSE)</f>
        <v>5300</v>
      </c>
    </row>
    <row r="190" spans="1:6" ht="12.75">
      <c r="A190" t="s">
        <v>258</v>
      </c>
      <c r="B190" t="s">
        <v>259</v>
      </c>
      <c r="C190">
        <v>-29000</v>
      </c>
      <c r="E190" t="e">
        <f>VLOOKUP(A190,Workings!A:P,15,FALSE)</f>
        <v>#N/A</v>
      </c>
      <c r="F190">
        <v>-29000</v>
      </c>
    </row>
    <row r="191" spans="1:5" ht="12.75">
      <c r="A191" t="s">
        <v>260</v>
      </c>
      <c r="B191" t="s">
        <v>261</v>
      </c>
      <c r="C191">
        <v>0</v>
      </c>
      <c r="E191" t="e">
        <f>VLOOKUP(A191,Workings!A:P,15,FALSE)</f>
        <v>#N/A</v>
      </c>
    </row>
    <row r="192" spans="1:5" ht="12.75">
      <c r="A192" t="s">
        <v>262</v>
      </c>
      <c r="B192" t="s">
        <v>263</v>
      </c>
      <c r="C192">
        <v>-5100</v>
      </c>
      <c r="E192">
        <f>VLOOKUP(A192,Workings!A:P,15,FALSE)</f>
        <v>5300</v>
      </c>
    </row>
    <row r="193" spans="1:5" ht="12.75">
      <c r="A193" t="s">
        <v>264</v>
      </c>
      <c r="B193" t="s">
        <v>265</v>
      </c>
      <c r="C193">
        <v>0</v>
      </c>
      <c r="E193">
        <f>VLOOKUP(A193,Workings!A:P,15,FALSE)</f>
        <v>5300</v>
      </c>
    </row>
    <row r="194" spans="1:5" ht="12.75">
      <c r="A194" t="s">
        <v>266</v>
      </c>
      <c r="B194" t="s">
        <v>267</v>
      </c>
      <c r="C194">
        <v>-70681</v>
      </c>
      <c r="E194">
        <f>VLOOKUP(A194,Workings!A:P,15,FALSE)</f>
        <v>5300</v>
      </c>
    </row>
    <row r="195" spans="1:5" ht="12.75">
      <c r="A195" t="s">
        <v>268</v>
      </c>
      <c r="B195" t="s">
        <v>269</v>
      </c>
      <c r="C195">
        <v>0</v>
      </c>
      <c r="E195">
        <f>VLOOKUP(A195,Workings!A:P,15,FALSE)</f>
        <v>1250</v>
      </c>
    </row>
    <row r="196" spans="1:5" ht="12.75">
      <c r="A196" t="s">
        <v>270</v>
      </c>
      <c r="B196" t="s">
        <v>271</v>
      </c>
      <c r="C196">
        <v>69166</v>
      </c>
      <c r="E196">
        <f>VLOOKUP(A196,Workings!A:P,15,FALSE)</f>
        <v>1250</v>
      </c>
    </row>
    <row r="197" spans="1:5" ht="12.75">
      <c r="A197" t="s">
        <v>272</v>
      </c>
      <c r="B197" t="s">
        <v>273</v>
      </c>
      <c r="C197">
        <v>5000</v>
      </c>
      <c r="E197" t="e">
        <f>VLOOKUP(A197,Workings!A:P,15,FALSE)</f>
        <v>#N/A</v>
      </c>
    </row>
    <row r="198" spans="1:5" ht="12.75">
      <c r="A198" t="s">
        <v>274</v>
      </c>
      <c r="B198" t="s">
        <v>275</v>
      </c>
      <c r="C198">
        <v>3100</v>
      </c>
      <c r="E198" t="e">
        <f>VLOOKUP(A198,Workings!A:P,15,FALSE)</f>
        <v>#N/A</v>
      </c>
    </row>
    <row r="199" spans="1:5" ht="12.75">
      <c r="A199" t="s">
        <v>276</v>
      </c>
      <c r="B199" t="s">
        <v>277</v>
      </c>
      <c r="C199">
        <v>0</v>
      </c>
      <c r="E199" t="e">
        <f>VLOOKUP(A199,Workings!A:P,15,FALSE)</f>
        <v>#N/A</v>
      </c>
    </row>
    <row r="200" spans="1:5" ht="12.75">
      <c r="A200" t="s">
        <v>278</v>
      </c>
      <c r="B200" t="s">
        <v>279</v>
      </c>
      <c r="C200">
        <v>1811</v>
      </c>
      <c r="E200">
        <f>VLOOKUP(A200,Workings!A:P,15,FALSE)</f>
        <v>5300</v>
      </c>
    </row>
    <row r="201" spans="1:5" ht="12.75">
      <c r="A201" t="s">
        <v>280</v>
      </c>
      <c r="B201" t="s">
        <v>281</v>
      </c>
      <c r="C201">
        <v>38091</v>
      </c>
      <c r="E201" t="e">
        <f>VLOOKUP(A201,Workings!A:P,15,FALSE)</f>
        <v>#N/A</v>
      </c>
    </row>
    <row r="202" spans="1:5" ht="12.75">
      <c r="A202" t="s">
        <v>282</v>
      </c>
      <c r="B202" t="s">
        <v>283</v>
      </c>
      <c r="C202">
        <v>0</v>
      </c>
      <c r="E202">
        <f>VLOOKUP(A202,Workings!A:P,15,FALSE)</f>
        <v>5300</v>
      </c>
    </row>
    <row r="203" spans="1:5" ht="12.75">
      <c r="A203" t="s">
        <v>284</v>
      </c>
      <c r="B203" t="s">
        <v>285</v>
      </c>
      <c r="C203">
        <v>16838</v>
      </c>
      <c r="E203">
        <f>VLOOKUP(A203,Workings!A:P,15,FALSE)</f>
        <v>1650</v>
      </c>
    </row>
    <row r="204" spans="1:5" ht="12.75">
      <c r="A204" t="s">
        <v>286</v>
      </c>
      <c r="B204" t="s">
        <v>287</v>
      </c>
      <c r="C204">
        <v>0</v>
      </c>
      <c r="E204">
        <f>VLOOKUP(A204,Workings!A:P,15,FALSE)</f>
        <v>5300</v>
      </c>
    </row>
    <row r="205" spans="1:5" ht="12.75">
      <c r="A205" t="s">
        <v>288</v>
      </c>
      <c r="B205" t="s">
        <v>289</v>
      </c>
      <c r="C205">
        <v>760</v>
      </c>
      <c r="E205">
        <f>VLOOKUP(A205,Workings!A:P,15,FALSE)</f>
        <v>1650</v>
      </c>
    </row>
    <row r="206" spans="1:5" ht="12.75">
      <c r="A206" t="s">
        <v>290</v>
      </c>
      <c r="B206" t="s">
        <v>291</v>
      </c>
      <c r="C206">
        <v>2026</v>
      </c>
      <c r="E206">
        <f>VLOOKUP(A206,Workings!A:P,15,FALSE)</f>
        <v>1650</v>
      </c>
    </row>
    <row r="207" spans="1:5" ht="12.75">
      <c r="A207" t="s">
        <v>292</v>
      </c>
      <c r="B207" t="s">
        <v>293</v>
      </c>
      <c r="C207">
        <v>0</v>
      </c>
      <c r="E207">
        <f>VLOOKUP(A207,Workings!A:P,15,FALSE)</f>
        <v>5300</v>
      </c>
    </row>
    <row r="208" spans="1:5" ht="12.75">
      <c r="A208" t="s">
        <v>294</v>
      </c>
      <c r="B208" t="s">
        <v>542</v>
      </c>
      <c r="C208">
        <v>0</v>
      </c>
      <c r="E208" t="e">
        <f>VLOOKUP(A208,Workings!A:P,15,FALSE)</f>
        <v>#N/A</v>
      </c>
    </row>
    <row r="209" spans="1:5" ht="12.75">
      <c r="A209" t="s">
        <v>296</v>
      </c>
      <c r="B209" t="s">
        <v>297</v>
      </c>
      <c r="C209">
        <v>0</v>
      </c>
      <c r="E209">
        <f>VLOOKUP(A209,Workings!A:P,15,FALSE)</f>
        <v>4000</v>
      </c>
    </row>
    <row r="210" spans="1:5" ht="12.75">
      <c r="A210" t="s">
        <v>298</v>
      </c>
      <c r="B210" t="s">
        <v>299</v>
      </c>
      <c r="C210">
        <v>0</v>
      </c>
      <c r="E210">
        <f>VLOOKUP(A210,Workings!A:P,15,FALSE)</f>
        <v>4000</v>
      </c>
    </row>
    <row r="211" spans="1:5" ht="12.75">
      <c r="A211" t="s">
        <v>300</v>
      </c>
      <c r="B211" t="s">
        <v>534</v>
      </c>
      <c r="C211">
        <v>0</v>
      </c>
      <c r="E211">
        <f>VLOOKUP(A211,Workings!A:P,15,FALSE)</f>
        <v>4000</v>
      </c>
    </row>
    <row r="212" spans="1:5" ht="12.75">
      <c r="A212" t="s">
        <v>302</v>
      </c>
      <c r="B212" t="s">
        <v>543</v>
      </c>
      <c r="C212">
        <v>0</v>
      </c>
      <c r="E212">
        <f>VLOOKUP(A212,Workings!A:P,15,FALSE)</f>
        <v>4000</v>
      </c>
    </row>
    <row r="213" spans="1:5" ht="12.75">
      <c r="A213" t="s">
        <v>304</v>
      </c>
      <c r="B213" t="s">
        <v>305</v>
      </c>
      <c r="C213">
        <v>0</v>
      </c>
      <c r="E213">
        <f>VLOOKUP(A213,Workings!A:P,15,FALSE)</f>
        <v>4000</v>
      </c>
    </row>
    <row r="214" spans="1:5" ht="12.75">
      <c r="A214" t="s">
        <v>306</v>
      </c>
      <c r="B214" t="s">
        <v>307</v>
      </c>
      <c r="C214">
        <v>0</v>
      </c>
      <c r="E214">
        <f>VLOOKUP(A214,Workings!A:P,15,FALSE)</f>
        <v>4000</v>
      </c>
    </row>
    <row r="215" spans="1:5" ht="12.75">
      <c r="A215" t="s">
        <v>308</v>
      </c>
      <c r="B215" t="s">
        <v>309</v>
      </c>
      <c r="C215">
        <v>0</v>
      </c>
      <c r="E215">
        <f>VLOOKUP(A215,Workings!A:P,15,FALSE)</f>
        <v>4000</v>
      </c>
    </row>
    <row r="216" spans="1:5" ht="12.75">
      <c r="A216" t="s">
        <v>310</v>
      </c>
      <c r="B216" t="s">
        <v>544</v>
      </c>
      <c r="C216">
        <v>0</v>
      </c>
      <c r="E216">
        <f>VLOOKUP(A216,Workings!A:P,15,FALSE)</f>
        <v>4000</v>
      </c>
    </row>
    <row r="217" spans="1:5" ht="12.75">
      <c r="A217" t="s">
        <v>312</v>
      </c>
      <c r="B217" t="s">
        <v>313</v>
      </c>
      <c r="C217">
        <v>7772</v>
      </c>
      <c r="E217">
        <f>VLOOKUP(A217,Workings!A:P,15,FALSE)</f>
        <v>4000</v>
      </c>
    </row>
    <row r="218" spans="1:5" ht="12.75">
      <c r="A218" t="s">
        <v>314</v>
      </c>
      <c r="B218" t="s">
        <v>527</v>
      </c>
      <c r="C218">
        <v>0</v>
      </c>
      <c r="E218">
        <f>VLOOKUP(A218,Workings!A:P,15,FALSE)</f>
        <v>4000</v>
      </c>
    </row>
    <row r="219" spans="1:5" ht="12.75">
      <c r="A219" t="s">
        <v>316</v>
      </c>
      <c r="B219" t="s">
        <v>317</v>
      </c>
      <c r="C219">
        <v>0</v>
      </c>
      <c r="E219">
        <f>VLOOKUP(A219,Workings!A:P,15,FALSE)</f>
        <v>4000</v>
      </c>
    </row>
    <row r="220" spans="1:5" ht="12.75">
      <c r="A220" t="s">
        <v>318</v>
      </c>
      <c r="B220" t="s">
        <v>528</v>
      </c>
      <c r="C220">
        <v>0</v>
      </c>
      <c r="E220">
        <f>VLOOKUP(A220,Workings!A:P,15,FALSE)</f>
        <v>4000</v>
      </c>
    </row>
    <row r="221" spans="1:5" ht="12.75">
      <c r="A221" t="s">
        <v>320</v>
      </c>
      <c r="B221" t="s">
        <v>321</v>
      </c>
      <c r="C221">
        <v>0</v>
      </c>
      <c r="E221">
        <f>VLOOKUP(A221,Workings!A:P,15,FALSE)</f>
        <v>4000</v>
      </c>
    </row>
    <row r="222" spans="1:5" ht="12.75">
      <c r="A222" t="s">
        <v>322</v>
      </c>
      <c r="B222" t="s">
        <v>323</v>
      </c>
      <c r="C222">
        <v>0</v>
      </c>
      <c r="E222">
        <f>VLOOKUP(A222,Workings!A:P,15,FALSE)</f>
        <v>4000</v>
      </c>
    </row>
    <row r="223" spans="1:5" ht="12.75">
      <c r="A223" t="s">
        <v>324</v>
      </c>
      <c r="B223" t="s">
        <v>325</v>
      </c>
      <c r="C223">
        <v>0</v>
      </c>
      <c r="E223">
        <f>VLOOKUP(A223,Workings!A:P,15,FALSE)</f>
        <v>4000</v>
      </c>
    </row>
    <row r="224" spans="1:5" ht="12.75">
      <c r="A224" t="s">
        <v>326</v>
      </c>
      <c r="B224" t="s">
        <v>327</v>
      </c>
      <c r="C224">
        <v>0</v>
      </c>
      <c r="E224">
        <f>VLOOKUP(A224,Workings!A:P,15,FALSE)</f>
        <v>4000</v>
      </c>
    </row>
    <row r="225" spans="1:5" ht="12.75">
      <c r="A225" t="s">
        <v>328</v>
      </c>
      <c r="B225" t="s">
        <v>329</v>
      </c>
      <c r="C225">
        <v>0</v>
      </c>
      <c r="E225">
        <f>VLOOKUP(A225,Workings!A:P,15,FALSE)</f>
        <v>4000</v>
      </c>
    </row>
    <row r="226" spans="1:5" ht="12.75">
      <c r="A226" t="s">
        <v>330</v>
      </c>
      <c r="B226" t="s">
        <v>529</v>
      </c>
      <c r="C226">
        <v>0</v>
      </c>
      <c r="E226">
        <f>VLOOKUP(A226,Workings!A:P,15,FALSE)</f>
        <v>4000</v>
      </c>
    </row>
    <row r="227" spans="1:5" ht="12.75">
      <c r="A227" t="s">
        <v>332</v>
      </c>
      <c r="B227" t="s">
        <v>333</v>
      </c>
      <c r="C227">
        <v>0</v>
      </c>
      <c r="E227">
        <f>VLOOKUP(A227,Workings!A:P,15,FALSE)</f>
        <v>4000</v>
      </c>
    </row>
    <row r="228" spans="1:5" ht="12.75">
      <c r="A228" t="s">
        <v>334</v>
      </c>
      <c r="B228" t="s">
        <v>335</v>
      </c>
      <c r="C228">
        <v>0</v>
      </c>
      <c r="E228">
        <f>VLOOKUP(A228,Workings!A:P,15,FALSE)</f>
        <v>4000</v>
      </c>
    </row>
    <row r="229" spans="1:5" ht="12.75">
      <c r="A229" t="s">
        <v>336</v>
      </c>
      <c r="B229" t="s">
        <v>337</v>
      </c>
      <c r="C229">
        <v>0</v>
      </c>
      <c r="E229">
        <f>VLOOKUP(A229,Workings!A:P,15,FALSE)</f>
        <v>4000</v>
      </c>
    </row>
    <row r="230" spans="1:5" ht="12.75">
      <c r="A230" t="s">
        <v>338</v>
      </c>
      <c r="B230" t="s">
        <v>339</v>
      </c>
      <c r="C230">
        <v>0</v>
      </c>
      <c r="E230">
        <f>VLOOKUP(A230,Workings!A:P,15,FALSE)</f>
        <v>4000</v>
      </c>
    </row>
    <row r="231" spans="1:5" ht="12.75">
      <c r="A231" t="s">
        <v>340</v>
      </c>
      <c r="B231" t="s">
        <v>341</v>
      </c>
      <c r="C231">
        <v>0</v>
      </c>
      <c r="E231">
        <f>VLOOKUP(A231,Workings!A:P,15,FALSE)</f>
        <v>4000</v>
      </c>
    </row>
    <row r="232" spans="1:5" ht="12.75">
      <c r="A232" t="s">
        <v>342</v>
      </c>
      <c r="B232" t="s">
        <v>343</v>
      </c>
      <c r="C232">
        <v>0</v>
      </c>
      <c r="E232" t="e">
        <f>VLOOKUP(A232,Workings!A:P,15,FALSE)</f>
        <v>#N/A</v>
      </c>
    </row>
    <row r="233" spans="1:5" ht="12.75">
      <c r="A233" t="s">
        <v>344</v>
      </c>
      <c r="B233" t="s">
        <v>345</v>
      </c>
      <c r="C233">
        <v>0</v>
      </c>
      <c r="E233">
        <f>VLOOKUP(A233,Workings!A:P,15,FALSE)</f>
        <v>4000</v>
      </c>
    </row>
    <row r="234" spans="1:5" ht="12.75">
      <c r="A234" t="s">
        <v>346</v>
      </c>
      <c r="B234" t="s">
        <v>347</v>
      </c>
      <c r="C234">
        <v>0</v>
      </c>
      <c r="E234">
        <f>VLOOKUP(A234,Workings!A:P,15,FALSE)</f>
        <v>4000</v>
      </c>
    </row>
    <row r="235" spans="1:5" ht="12.75">
      <c r="A235" t="s">
        <v>348</v>
      </c>
      <c r="B235" t="s">
        <v>545</v>
      </c>
      <c r="C235">
        <v>0</v>
      </c>
      <c r="E235">
        <f>VLOOKUP(A235,Workings!A:P,15,FALSE)</f>
        <v>4000</v>
      </c>
    </row>
    <row r="236" spans="1:5" ht="12.75">
      <c r="A236" t="s">
        <v>350</v>
      </c>
      <c r="B236" t="s">
        <v>351</v>
      </c>
      <c r="C236">
        <v>0</v>
      </c>
      <c r="E236" t="e">
        <f>VLOOKUP(A236,Workings!A:P,15,FALSE)</f>
        <v>#N/A</v>
      </c>
    </row>
    <row r="237" spans="1:5" ht="12.75">
      <c r="A237" t="s">
        <v>352</v>
      </c>
      <c r="B237" t="s">
        <v>353</v>
      </c>
      <c r="C237">
        <v>0</v>
      </c>
      <c r="E237" t="e">
        <f>VLOOKUP(A237,Workings!A:P,15,FALSE)</f>
        <v>#N/A</v>
      </c>
    </row>
    <row r="238" spans="1:5" ht="12.75">
      <c r="A238" t="s">
        <v>354</v>
      </c>
      <c r="B238" t="s">
        <v>355</v>
      </c>
      <c r="C238">
        <v>0</v>
      </c>
      <c r="E238">
        <f>VLOOKUP(A238,Workings!A:P,15,FALSE)</f>
        <v>4000</v>
      </c>
    </row>
    <row r="239" spans="1:5" ht="12.75">
      <c r="A239" t="s">
        <v>356</v>
      </c>
      <c r="B239" t="s">
        <v>357</v>
      </c>
      <c r="C239">
        <v>0</v>
      </c>
      <c r="E239" t="e">
        <f>VLOOKUP(A239,Workings!A:P,15,FALSE)</f>
        <v>#N/A</v>
      </c>
    </row>
    <row r="240" spans="1:5" ht="12.75">
      <c r="A240" t="s">
        <v>358</v>
      </c>
      <c r="B240" t="s">
        <v>546</v>
      </c>
      <c r="C240">
        <v>0</v>
      </c>
      <c r="E240">
        <f>VLOOKUP(A240,Workings!A:P,15,FALSE)</f>
        <v>4000</v>
      </c>
    </row>
    <row r="241" spans="1:5" ht="12.75">
      <c r="A241" t="s">
        <v>360</v>
      </c>
      <c r="B241" t="s">
        <v>361</v>
      </c>
      <c r="C241">
        <v>473</v>
      </c>
      <c r="E241">
        <f>VLOOKUP(A241,Workings!A:P,15,FALSE)</f>
        <v>4000</v>
      </c>
    </row>
    <row r="242" spans="1:5" ht="12.75">
      <c r="A242" t="s">
        <v>362</v>
      </c>
      <c r="B242" t="s">
        <v>363</v>
      </c>
      <c r="C242">
        <v>0</v>
      </c>
      <c r="E242">
        <f>VLOOKUP(A242,Workings!A:P,15,FALSE)</f>
        <v>4000</v>
      </c>
    </row>
    <row r="243" spans="1:5" ht="12.75">
      <c r="A243" t="s">
        <v>364</v>
      </c>
      <c r="B243" t="s">
        <v>530</v>
      </c>
      <c r="C243">
        <v>0</v>
      </c>
      <c r="E243" t="e">
        <f>VLOOKUP(A243,Workings!A:P,15,FALSE)</f>
        <v>#N/A</v>
      </c>
    </row>
    <row r="244" spans="1:5" ht="12.75">
      <c r="A244" t="s">
        <v>366</v>
      </c>
      <c r="B244" t="s">
        <v>367</v>
      </c>
      <c r="C244">
        <v>0</v>
      </c>
      <c r="E244">
        <f>VLOOKUP(A244,Workings!A:P,15,FALSE)</f>
        <v>4000</v>
      </c>
    </row>
    <row r="245" spans="1:5" ht="12.75">
      <c r="A245" t="s">
        <v>368</v>
      </c>
      <c r="B245" t="s">
        <v>369</v>
      </c>
      <c r="C245">
        <v>0</v>
      </c>
      <c r="E245">
        <f>VLOOKUP(A245,Workings!A:P,15,FALSE)</f>
        <v>4000</v>
      </c>
    </row>
    <row r="246" spans="1:5" ht="12.75">
      <c r="A246" t="s">
        <v>370</v>
      </c>
      <c r="B246" t="s">
        <v>371</v>
      </c>
      <c r="C246">
        <v>0</v>
      </c>
      <c r="E246">
        <f>VLOOKUP(A246,Workings!A:P,15,FALSE)</f>
        <v>4000</v>
      </c>
    </row>
    <row r="247" spans="1:2" ht="12.75"/>
    <row r="248" spans="1:43" ht="12.75">
      <c r="C248">
        <v>0</v>
      </c>
      <c r="F248">
        <f>SUM(F12:F247)</f>
        <v>0</v>
      </c>
      <c r="G248">
        <f aca="true" t="shared" si="0" ref="G248:R248">SUM(G12:G247)</f>
        <v>0</v>
      </c>
      <c r="H248">
        <f t="shared" si="0"/>
        <v>0</v>
      </c>
      <c r="I248">
        <f t="shared" si="0"/>
        <v>0</v>
      </c>
      <c r="J248">
        <f t="shared" si="0"/>
        <v>0</v>
      </c>
      <c r="K248">
        <f t="shared" si="0"/>
        <v>0</v>
      </c>
      <c r="L248">
        <f t="shared" si="0"/>
        <v>0</v>
      </c>
      <c r="M248">
        <f t="shared" si="0"/>
        <v>0</v>
      </c>
      <c r="N248">
        <f t="shared" si="0"/>
        <v>0</v>
      </c>
      <c r="O248">
        <f t="shared" si="0"/>
        <v>0</v>
      </c>
      <c r="P248">
        <f t="shared" si="0"/>
        <v>0</v>
      </c>
      <c r="Q248">
        <f t="shared" si="0"/>
        <v>0</v>
      </c>
      <c r="R248">
        <f t="shared" si="0"/>
        <v>0</v>
      </c>
      <c r="S248">
        <f aca="true" t="shared" si="1" ref="S248:AQ248">SUM(S12:S247)</f>
        <v>0</v>
      </c>
      <c r="T248">
        <f t="shared" si="1"/>
        <v>0</v>
      </c>
      <c r="U248">
        <f t="shared" si="1"/>
        <v>0</v>
      </c>
      <c r="V248">
        <f t="shared" si="1"/>
        <v>0</v>
      </c>
      <c r="W248">
        <f t="shared" si="1"/>
        <v>0</v>
      </c>
      <c r="X248">
        <f t="shared" si="1"/>
        <v>0</v>
      </c>
      <c r="Y248">
        <f t="shared" si="1"/>
        <v>0</v>
      </c>
      <c r="Z248">
        <f t="shared" si="1"/>
        <v>0</v>
      </c>
      <c r="AA248">
        <f t="shared" si="1"/>
        <v>0</v>
      </c>
      <c r="AB248">
        <f t="shared" si="1"/>
        <v>0</v>
      </c>
      <c r="AC248">
        <f t="shared" si="1"/>
        <v>0</v>
      </c>
      <c r="AD248">
        <f t="shared" si="1"/>
        <v>0</v>
      </c>
      <c r="AE248">
        <f t="shared" si="1"/>
        <v>0</v>
      </c>
      <c r="AF248">
        <f t="shared" si="1"/>
        <v>0</v>
      </c>
      <c r="AG248">
        <f t="shared" si="1"/>
        <v>0</v>
      </c>
      <c r="AH248">
        <f t="shared" si="1"/>
        <v>0</v>
      </c>
      <c r="AI248">
        <f t="shared" si="1"/>
        <v>0</v>
      </c>
      <c r="AJ248">
        <f t="shared" si="1"/>
        <v>0</v>
      </c>
      <c r="AK248">
        <f t="shared" si="1"/>
        <v>0</v>
      </c>
      <c r="AL248">
        <f t="shared" si="1"/>
        <v>0</v>
      </c>
      <c r="AM248">
        <f t="shared" si="1"/>
        <v>0</v>
      </c>
      <c r="AN248">
        <f t="shared" si="1"/>
        <v>0</v>
      </c>
      <c r="AO248">
        <f t="shared" si="1"/>
        <v>0</v>
      </c>
      <c r="AP248">
        <f t="shared" si="1"/>
        <v>0</v>
      </c>
      <c r="AQ248">
        <f t="shared" si="1"/>
        <v>0</v>
      </c>
    </row>
    <row r="249" spans="1:2" ht="12.75"/>
    <row r="250" spans="1:2" ht="12.75"/>
    <row r="251" spans="1:2" ht="12.75"/>
    <row r="252" spans="1:2" ht="12.75"/>
    <row r="253" spans="1:2" ht="12.75"/>
    <row r="254" spans="1:2" ht="12.75"/>
    <row r="255" spans="1:2" ht="12.75"/>
    <row r="256" spans="1:2" ht="12.75"/>
    <row r="257" spans="1:2" ht="12.75"/>
    <row r="258" spans="1:2" ht="12.75"/>
    <row r="259" spans="1:2" ht="12.75"/>
    <row r="260" spans="1:2" ht="12.75"/>
    <row r="261" spans="1:2" ht="12.75"/>
    <row r="262" spans="1:2" ht="12.75"/>
    <row r="263" spans="1:2" ht="12.75"/>
    <row r="264" spans="1:2" ht="12.75"/>
    <row r="265" spans="1:2" ht="12.75"/>
    <row r="266" spans="1:2" ht="12.75"/>
    <row r="267" spans="1:2" ht="12.75"/>
    <row r="268" spans="1:2" ht="12.75"/>
    <row r="269" spans="1:2" ht="12.75"/>
    <row r="270" spans="1:2" ht="12.75"/>
    <row r="271" spans="1:2" ht="12.75"/>
    <row r="272" spans="1:2" ht="12.75"/>
    <row r="273" spans="1:2" ht="12.75"/>
    <row r="274" spans="1:2" ht="12.75"/>
    <row r="275" spans="1:2" ht="12.75"/>
    <row r="276" spans="1:2" ht="12.75"/>
    <row r="277" spans="1:2" ht="12.75"/>
    <row r="278" spans="1:2" ht="12.75"/>
    <row r="279" spans="1:2" ht="12.75"/>
    <row r="280" spans="1:2" ht="12.75"/>
    <row r="281" spans="1:2" ht="12.75"/>
    <row r="282" spans="1:2" ht="12.75"/>
    <row r="283" spans="1:2" ht="12.75"/>
    <row r="284" spans="1:2" ht="12.75"/>
    <row r="285" spans="1:2" ht="12.75"/>
    <row r="286" spans="1:2" ht="12.75"/>
    <row r="287" spans="1:2" ht="12.75"/>
    <row r="288" spans="1:2" ht="12.75"/>
    <row r="289" spans="1:2" ht="12.75"/>
    <row r="290" spans="1:2" ht="12.75"/>
    <row r="291" spans="1:2" ht="12.75"/>
    <row r="292" spans="1:2" ht="12.75"/>
    <row r="293" spans="1:2" ht="12.75"/>
    <row r="294" spans="1:2" ht="12.75"/>
    <row r="295" spans="1:2" ht="12.75"/>
    <row r="296" spans="1:2" ht="12.75"/>
    <row r="297" spans="1:2" ht="12.75"/>
    <row r="298" spans="1:2" ht="12.75"/>
    <row r="299" spans="1:2" ht="12.75"/>
    <row r="300" spans="1:2" ht="12.75"/>
    <row r="301" spans="1:2" ht="12.75"/>
    <row r="302" spans="1:2" ht="12.75"/>
    <row r="303" spans="1:2" ht="12.75"/>
    <row r="304" spans="1:2" ht="12.75"/>
    <row r="305" spans="1:2" ht="12.75"/>
    <row r="306" spans="1:2" ht="12.75"/>
    <row r="307" spans="1:2" ht="12.75"/>
    <row r="308" spans="1:2" ht="12.75"/>
    <row r="309" spans="1:2" ht="12.75"/>
    <row r="310" spans="1:2" ht="12.75"/>
    <row r="311" spans="1:2" ht="12.75"/>
    <row r="312" spans="1:2" ht="12.75"/>
    <row r="313" spans="1:2" ht="12.75"/>
    <row r="314" spans="1:2" ht="12.75"/>
    <row r="315" spans="1:2" ht="12.75"/>
    <row r="316" spans="1:2" ht="12.75"/>
    <row r="317" spans="1:2" ht="12.75"/>
    <row r="318" spans="1:2" ht="12.75"/>
    <row r="319" spans="1:2" ht="12.75"/>
    <row r="320" spans="1:2" ht="12.75"/>
    <row r="321" spans="1:2" ht="12.75"/>
    <row r="322" spans="1:2" ht="12.75"/>
    <row r="323" spans="1:2" ht="12.75"/>
    <row r="324" spans="1:2" ht="12.75"/>
    <row r="325" spans="1:2" ht="12.75"/>
    <row r="326" spans="1:2" ht="12.75"/>
    <row r="327" spans="1:2" ht="12.75"/>
    <row r="328" spans="1:2" ht="12.75"/>
    <row r="329" spans="1:2" ht="12.75"/>
    <row r="330" spans="1:2" ht="12.75"/>
    <row r="331" spans="1:2" ht="12.75"/>
    <row r="332" spans="1:2" ht="12.75"/>
    <row r="333" spans="1:2" ht="12.75"/>
    <row r="334" spans="1:2" ht="12.75"/>
    <row r="335" spans="1:2" ht="12.75"/>
    <row r="336" spans="1:2" ht="12.75"/>
    <row r="337" spans="1:2" ht="12.75"/>
    <row r="338" spans="1:2" ht="12.75"/>
    <row r="339" spans="1:2" ht="12.75"/>
    <row r="340" spans="1:2" ht="12.75"/>
    <row r="341" spans="1:2" ht="12.75"/>
    <row r="342" spans="1:2" ht="12.75"/>
    <row r="343" spans="1:2" ht="12.75"/>
    <row r="344" spans="1:2" ht="12.75"/>
    <row r="345" spans="1:2" ht="12.75"/>
    <row r="346" spans="1:2" ht="12.75"/>
    <row r="347" spans="1:2" ht="12.75"/>
    <row r="348" spans="1:2" ht="12.75"/>
    <row r="349" spans="1:2" ht="12.75"/>
    <row r="350" spans="1:2" 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57"/>
  <sheetViews>
    <sheetView zoomScalePageLayoutView="0" workbookViewId="0" topLeftCell="A28">
      <selection activeCell="C57" sqref="C57"/>
    </sheetView>
  </sheetViews>
  <sheetFormatPr defaultColWidth="9.140625" defaultRowHeight="12.75"/>
  <sheetData>
    <row r="1" spans="1:6" ht="12.75">
      <c r="A1">
        <v>1000</v>
      </c>
      <c r="C1">
        <f>SUMIF('Workings Prior Month'!O:O,A1,'Workings Prior Month'!C:C)</f>
        <v>3741529</v>
      </c>
      <c r="E1">
        <f>SUMIF('Budget14-15'!M:M,A1,'Budget14-15'!H:H)</f>
        <v>668049</v>
      </c>
      <c r="F1">
        <f>+C1-E1</f>
        <v>3073480</v>
      </c>
    </row>
    <row r="2" spans="1:6" ht="12.75">
      <c r="A2">
        <v>1200</v>
      </c>
      <c r="C2">
        <f>SUMIF('Workings Prior Month'!O:O,A2,'Workings Prior Month'!C:C)</f>
        <v>20000</v>
      </c>
      <c r="E2">
        <f>SUMIF('Budget14-15'!M:M,A2,'Budget14-15'!H:H)</f>
        <v>-86681</v>
      </c>
      <c r="F2">
        <f aca="true" t="shared" si="0" ref="F2:F55">+C2-E2</f>
        <v>106681</v>
      </c>
    </row>
    <row r="3" spans="1:6" ht="12.75">
      <c r="A3">
        <v>1220</v>
      </c>
      <c r="C3">
        <f>SUMIF('Workings Prior Month'!O:O,A3,'Workings Prior Month'!C:C)</f>
        <v>531886</v>
      </c>
      <c r="E3">
        <f>SUMIF('Budget14-15'!M:M,A3,'Budget14-15'!H:H)</f>
        <v>-6169668</v>
      </c>
      <c r="F3">
        <f t="shared" si="0"/>
        <v>6701554</v>
      </c>
    </row>
    <row r="4" spans="1:6" ht="12.75">
      <c r="A4">
        <v>1230</v>
      </c>
      <c r="C4">
        <f>SUMIF('Workings Prior Month'!O:O,A4,'Workings Prior Month'!C:C)</f>
        <v>352021</v>
      </c>
      <c r="E4">
        <f>SUMIF('Budget14-15'!M:M,A4,'Budget14-15'!H:H)</f>
        <v>62277</v>
      </c>
      <c r="F4">
        <f t="shared" si="0"/>
        <v>289744</v>
      </c>
    </row>
    <row r="5" spans="1:6" ht="12.75">
      <c r="A5">
        <v>1240</v>
      </c>
      <c r="C5">
        <f>SUMIF('Workings Prior Month'!O:O,A5,'Workings Prior Month'!C:C)</f>
        <v>92000</v>
      </c>
      <c r="E5">
        <f>SUMIF('Budget14-15'!M:M,A5,'Budget14-15'!H:H)</f>
        <v>-214212</v>
      </c>
      <c r="F5">
        <f t="shared" si="0"/>
        <v>306212</v>
      </c>
    </row>
    <row r="6" spans="1:6" ht="12.75">
      <c r="A6">
        <v>1250</v>
      </c>
      <c r="C6">
        <f>SUMIF('Workings Prior Month'!O:O,A6,'Workings Prior Month'!C:C)</f>
        <v>0</v>
      </c>
      <c r="E6">
        <f>SUMIF('Budget14-15'!M:M,A6,'Budget14-15'!H:H)</f>
        <v>0</v>
      </c>
      <c r="F6">
        <f t="shared" si="0"/>
        <v>0</v>
      </c>
    </row>
    <row r="7" spans="1:6" ht="12.75">
      <c r="A7">
        <v>1300</v>
      </c>
      <c r="C7">
        <f>SUMIF('Workings Prior Month'!O:O,A7,'Workings Prior Month'!C:C)</f>
        <v>520424</v>
      </c>
      <c r="E7">
        <f>SUMIF('Budget14-15'!M:M,A7,'Budget14-15'!H:H)</f>
        <v>546294</v>
      </c>
      <c r="F7">
        <f t="shared" si="0"/>
        <v>-25870</v>
      </c>
    </row>
    <row r="8" spans="1:6" ht="12.75">
      <c r="A8">
        <v>1310</v>
      </c>
      <c r="C8">
        <f>SUMIF('Workings Prior Month'!O:O,A8,'Workings Prior Month'!C:C)</f>
        <v>144622</v>
      </c>
      <c r="E8">
        <f>SUMIF('Budget14-15'!M:M,A8,'Budget14-15'!H:H)</f>
        <v>509659</v>
      </c>
      <c r="F8">
        <f t="shared" si="0"/>
        <v>-365037</v>
      </c>
    </row>
    <row r="9" spans="1:6" ht="12.75">
      <c r="A9">
        <v>1320</v>
      </c>
      <c r="C9">
        <f>SUMIF('Workings Prior Month'!O:O,A9,'Workings Prior Month'!C:C)</f>
        <v>0</v>
      </c>
      <c r="E9">
        <f>SUMIF('Budget14-15'!M:M,A9,'Budget14-15'!H:H)</f>
        <v>3770500</v>
      </c>
      <c r="F9">
        <f t="shared" si="0"/>
        <v>-3770500</v>
      </c>
    </row>
    <row r="10" spans="1:6" ht="12.75">
      <c r="A10">
        <v>1400</v>
      </c>
      <c r="C10">
        <f>SUMIF('Workings Prior Month'!O:O,A10,'Workings Prior Month'!C:C)</f>
        <v>0</v>
      </c>
      <c r="E10">
        <f>SUMIF('Budget14-15'!M:M,A10,'Budget14-15'!H:H)</f>
        <v>0</v>
      </c>
      <c r="F10">
        <f t="shared" si="0"/>
        <v>0</v>
      </c>
    </row>
    <row r="11" spans="1:6" ht="12.75">
      <c r="A11">
        <v>1410</v>
      </c>
      <c r="C11">
        <f>SUMIF('Workings Prior Month'!O:O,A11,'Workings Prior Month'!C:C)</f>
        <v>65000</v>
      </c>
      <c r="E11">
        <f>SUMIF('Budget14-15'!M:M,A11,'Budget14-15'!H:H)</f>
        <v>1184</v>
      </c>
      <c r="F11">
        <f t="shared" si="0"/>
        <v>63816</v>
      </c>
    </row>
    <row r="12" spans="1:6" ht="12.75">
      <c r="A12">
        <v>1420</v>
      </c>
      <c r="C12">
        <f>SUMIF('Workings Prior Month'!O:O,A12,'Workings Prior Month'!C:C)</f>
        <v>16000</v>
      </c>
      <c r="E12">
        <f>SUMIF('Budget14-15'!M:M,A12,'Budget14-15'!H:H)</f>
        <v>0</v>
      </c>
      <c r="F12">
        <f t="shared" si="0"/>
        <v>16000</v>
      </c>
    </row>
    <row r="13" spans="1:6" ht="12.75">
      <c r="A13">
        <v>1430</v>
      </c>
      <c r="C13">
        <f>SUMIF('Workings Prior Month'!O:O,A13,'Workings Prior Month'!C:C)</f>
        <v>8500</v>
      </c>
      <c r="E13">
        <f>SUMIF('Budget14-15'!M:M,A13,'Budget14-15'!H:H)</f>
        <v>0</v>
      </c>
      <c r="F13">
        <f t="shared" si="0"/>
        <v>8500</v>
      </c>
    </row>
    <row r="14" spans="1:6" ht="12.75">
      <c r="A14">
        <v>1500</v>
      </c>
      <c r="C14">
        <f>SUMIF('Workings Prior Month'!O:O,A14,'Workings Prior Month'!C:C)</f>
        <v>125000</v>
      </c>
      <c r="E14">
        <f>SUMIF('Budget14-15'!M:M,A14,'Budget14-15'!H:H)</f>
        <v>15409</v>
      </c>
      <c r="F14">
        <f t="shared" si="0"/>
        <v>109591</v>
      </c>
    </row>
    <row r="15" spans="1:6" ht="12.75">
      <c r="A15">
        <v>1510</v>
      </c>
      <c r="C15">
        <f>SUMIF('Workings Prior Month'!O:O,A15,'Workings Prior Month'!C:C)</f>
        <v>135000</v>
      </c>
      <c r="E15">
        <f>SUMIF('Budget14-15'!M:M,A15,'Budget14-15'!H:H)</f>
        <v>0</v>
      </c>
      <c r="F15">
        <f t="shared" si="0"/>
        <v>135000</v>
      </c>
    </row>
    <row r="16" spans="1:6" ht="12.75">
      <c r="A16">
        <v>1520</v>
      </c>
      <c r="C16">
        <f>SUMIF('Workings Prior Month'!O:O,A16,'Workings Prior Month'!C:C)</f>
        <v>24000</v>
      </c>
      <c r="E16">
        <f>SUMIF('Budget14-15'!M:M,A16,'Budget14-15'!H:H)</f>
        <v>0</v>
      </c>
      <c r="F16">
        <f t="shared" si="0"/>
        <v>24000</v>
      </c>
    </row>
    <row r="17" spans="1:6" ht="12.75">
      <c r="A17">
        <v>1530</v>
      </c>
      <c r="C17">
        <f>SUMIF('Workings Prior Month'!O:O,A17,'Workings Prior Month'!C:C)</f>
        <v>34500</v>
      </c>
      <c r="E17">
        <f>SUMIF('Budget14-15'!M:M,A17,'Budget14-15'!H:H)</f>
        <v>0</v>
      </c>
      <c r="F17">
        <f t="shared" si="0"/>
        <v>34500</v>
      </c>
    </row>
    <row r="18" spans="1:6" ht="12.75">
      <c r="A18">
        <v>1540</v>
      </c>
      <c r="C18">
        <f>SUMIF('Workings Prior Month'!O:O,A18,'Workings Prior Month'!C:C)</f>
        <v>52000</v>
      </c>
      <c r="E18">
        <f>SUMIF('Budget14-15'!M:M,A18,'Budget14-15'!H:H)</f>
        <v>0</v>
      </c>
      <c r="F18">
        <f t="shared" si="0"/>
        <v>52000</v>
      </c>
    </row>
    <row r="19" spans="1:6" ht="12.75">
      <c r="A19">
        <v>1600</v>
      </c>
      <c r="C19">
        <f>SUMIF('Workings Prior Month'!O:O,A19,'Workings Prior Month'!C:C)</f>
        <v>89746</v>
      </c>
      <c r="E19">
        <f>SUMIF('Budget14-15'!M:M,A19,'Budget14-15'!H:H)</f>
        <v>322171</v>
      </c>
      <c r="F19">
        <f t="shared" si="0"/>
        <v>-232425</v>
      </c>
    </row>
    <row r="20" spans="1:6" ht="12.75">
      <c r="A20">
        <v>1610</v>
      </c>
      <c r="C20">
        <f>SUMIF('Workings Prior Month'!O:O,A20,'Workings Prior Month'!C:C)</f>
        <v>140000</v>
      </c>
      <c r="E20">
        <f>SUMIF('Budget14-15'!M:M,A20,'Budget14-15'!H:H)</f>
        <v>11483</v>
      </c>
      <c r="F20">
        <f t="shared" si="0"/>
        <v>128517</v>
      </c>
    </row>
    <row r="21" spans="1:6" ht="12.75">
      <c r="A21">
        <v>1620</v>
      </c>
      <c r="C21">
        <f>SUMIF('Workings Prior Month'!O:O,A21,'Workings Prior Month'!C:C)</f>
        <v>43809</v>
      </c>
      <c r="E21">
        <f>SUMIF('Budget14-15'!M:M,A21,'Budget14-15'!H:H)</f>
        <v>50000</v>
      </c>
      <c r="F21">
        <f t="shared" si="0"/>
        <v>-6191</v>
      </c>
    </row>
    <row r="22" spans="1:6" ht="12.75">
      <c r="A22">
        <v>1630</v>
      </c>
      <c r="C22">
        <f>SUMIF('Workings Prior Month'!O:O,A22,'Workings Prior Month'!C:C)</f>
        <v>10163</v>
      </c>
      <c r="E22">
        <f>SUMIF('Budget14-15'!M:M,A22,'Budget14-15'!H:H)</f>
        <v>179166</v>
      </c>
      <c r="F22">
        <f t="shared" si="0"/>
        <v>-169003</v>
      </c>
    </row>
    <row r="23" spans="1:6" ht="12.75">
      <c r="A23">
        <v>1640</v>
      </c>
      <c r="C23">
        <f>SUMIF('Workings Prior Month'!O:O,A23,'Workings Prior Month'!C:C)</f>
        <v>216015</v>
      </c>
      <c r="E23">
        <f>SUMIF('Budget14-15'!M:M,A23,'Budget14-15'!H:H)</f>
        <v>227589</v>
      </c>
      <c r="F23">
        <f t="shared" si="0"/>
        <v>-11574</v>
      </c>
    </row>
    <row r="24" spans="1:6" ht="12.75">
      <c r="A24">
        <v>1650</v>
      </c>
      <c r="C24">
        <f>SUMIF('Workings Prior Month'!O:O,A24,'Workings Prior Month'!C:C)</f>
        <v>78689</v>
      </c>
      <c r="E24">
        <f>SUMIF('Budget14-15'!M:M,A24,'Budget14-15'!H:H)</f>
        <v>121368</v>
      </c>
      <c r="F24">
        <f t="shared" si="0"/>
        <v>-42679</v>
      </c>
    </row>
    <row r="25" spans="1:6" ht="12.75">
      <c r="A25">
        <v>1660</v>
      </c>
      <c r="C25">
        <f>SUMIF('Workings Prior Month'!O:O,A25,'Workings Prior Month'!C:C)</f>
        <v>0</v>
      </c>
      <c r="E25">
        <f>SUMIF('Budget14-15'!M:M,A25,'Budget14-15'!H:H)</f>
        <v>0</v>
      </c>
      <c r="F25">
        <f t="shared" si="0"/>
        <v>0</v>
      </c>
    </row>
    <row r="26" spans="1:6" ht="12.75">
      <c r="A26">
        <v>1670</v>
      </c>
      <c r="C26">
        <f>SUMIF('Workings Prior Month'!O:O,A26,'Workings Prior Month'!C:C)</f>
        <v>10750</v>
      </c>
      <c r="E26">
        <f>SUMIF('Budget14-15'!M:M,A26,'Budget14-15'!H:H)</f>
        <v>20000</v>
      </c>
      <c r="F26">
        <f t="shared" si="0"/>
        <v>-9250</v>
      </c>
    </row>
    <row r="27" spans="1:6" ht="12.75">
      <c r="A27">
        <v>1680</v>
      </c>
      <c r="C27">
        <f>SUMIF('Workings Prior Month'!O:O,A27,'Workings Prior Month'!C:C)</f>
        <v>10500</v>
      </c>
      <c r="E27">
        <f>SUMIF('Budget14-15'!M:M,A27,'Budget14-15'!H:H)</f>
        <v>952</v>
      </c>
      <c r="F27">
        <f t="shared" si="0"/>
        <v>9548</v>
      </c>
    </row>
    <row r="28" spans="1:6" ht="12.75">
      <c r="A28">
        <v>1690</v>
      </c>
      <c r="C28">
        <f>SUMIF('Workings Prior Month'!O:O,A28,'Workings Prior Month'!C:C)</f>
        <v>0</v>
      </c>
      <c r="E28">
        <f>SUMIF('Budget14-15'!M:M,A28,'Budget14-15'!H:H)</f>
        <v>0</v>
      </c>
      <c r="F28">
        <f t="shared" si="0"/>
        <v>0</v>
      </c>
    </row>
    <row r="29" spans="1:6" ht="12.75">
      <c r="A29">
        <v>1800</v>
      </c>
      <c r="C29">
        <f>SUMIF('Workings Prior Month'!O:O,A29,'Workings Prior Month'!C:C)</f>
        <v>14500</v>
      </c>
      <c r="E29">
        <f>SUMIF('Budget14-15'!M:M,A29,'Budget14-15'!H:H)</f>
        <v>86500</v>
      </c>
      <c r="F29">
        <f t="shared" si="0"/>
        <v>-72000</v>
      </c>
    </row>
    <row r="30" spans="1:6" ht="12.75">
      <c r="A30">
        <v>1810</v>
      </c>
      <c r="C30">
        <f>SUMIF('Workings Prior Month'!O:O,A30,'Workings Prior Month'!C:C)</f>
        <v>3500</v>
      </c>
      <c r="E30">
        <f>SUMIF('Budget14-15'!M:M,A30,'Budget14-15'!H:H)</f>
        <v>36700</v>
      </c>
      <c r="F30">
        <f t="shared" si="0"/>
        <v>-33200</v>
      </c>
    </row>
    <row r="31" spans="1:6" ht="12.75">
      <c r="A31">
        <v>1820</v>
      </c>
      <c r="C31">
        <f>SUMIF('Workings Prior Month'!O:O,A31,'Workings Prior Month'!C:C)</f>
        <v>36000</v>
      </c>
      <c r="E31">
        <f>SUMIF('Budget14-15'!M:M,A31,'Budget14-15'!H:H)</f>
        <v>30000</v>
      </c>
      <c r="F31">
        <f t="shared" si="0"/>
        <v>6000</v>
      </c>
    </row>
    <row r="32" spans="1:6" ht="12.75">
      <c r="A32">
        <v>1825</v>
      </c>
      <c r="C32">
        <f>SUMIF('Workings Prior Month'!O:O,A32,'Workings Prior Month'!C:C)</f>
        <v>2500</v>
      </c>
      <c r="E32">
        <f>SUMIF('Budget14-15'!M:M,A32,'Budget14-15'!H:H)</f>
        <v>1500</v>
      </c>
      <c r="F32">
        <f t="shared" si="0"/>
        <v>1000</v>
      </c>
    </row>
    <row r="33" spans="1:6" ht="12.75">
      <c r="A33">
        <v>1830</v>
      </c>
      <c r="C33">
        <f>SUMIF('Workings Prior Month'!O:O,A33,'Workings Prior Month'!C:C)</f>
        <v>11000</v>
      </c>
      <c r="E33">
        <f>SUMIF('Budget14-15'!M:M,A33,'Budget14-15'!H:H)</f>
        <v>141620</v>
      </c>
      <c r="F33">
        <f t="shared" si="0"/>
        <v>-130620</v>
      </c>
    </row>
    <row r="34" spans="1:6" ht="12.75">
      <c r="A34">
        <v>1900</v>
      </c>
      <c r="C34">
        <f>SUMIF('Workings Prior Month'!O:O,A34,'Workings Prior Month'!C:C)</f>
        <v>1000</v>
      </c>
      <c r="E34">
        <f>SUMIF('Budget14-15'!M:M,A34,'Budget14-15'!H:H)</f>
        <v>342</v>
      </c>
      <c r="F34">
        <f t="shared" si="0"/>
        <v>658</v>
      </c>
    </row>
    <row r="35" spans="1:6" ht="12.75">
      <c r="A35">
        <v>2000</v>
      </c>
      <c r="C35">
        <f>SUMIF('Workings Prior Month'!O:O,A35,'Workings Prior Month'!C:C)</f>
        <v>90000</v>
      </c>
      <c r="E35">
        <f>SUMIF('Budget14-15'!M:M,A35,'Budget14-15'!H:H)</f>
        <v>-32250</v>
      </c>
      <c r="F35">
        <f t="shared" si="0"/>
        <v>122250</v>
      </c>
    </row>
    <row r="36" spans="1:6" ht="12.75">
      <c r="A36">
        <v>2010</v>
      </c>
      <c r="C36">
        <f>SUMIF('Workings Prior Month'!O:O,A36,'Workings Prior Month'!C:C)</f>
        <v>0</v>
      </c>
      <c r="E36">
        <f>SUMIF('Budget14-15'!M:M,A36,'Budget14-15'!H:H)</f>
        <v>15000</v>
      </c>
      <c r="F36">
        <f t="shared" si="0"/>
        <v>-15000</v>
      </c>
    </row>
    <row r="37" spans="1:6" ht="12.75">
      <c r="A37">
        <v>2100</v>
      </c>
      <c r="C37">
        <f>SUMIF('Workings Prior Month'!O:O,A37,'Workings Prior Month'!C:C)</f>
        <v>14000</v>
      </c>
      <c r="E37">
        <f>SUMIF('Budget14-15'!M:M,A37,'Budget14-15'!H:H)</f>
        <v>11000</v>
      </c>
      <c r="F37">
        <f t="shared" si="0"/>
        <v>3000</v>
      </c>
    </row>
    <row r="38" spans="1:6" ht="12.75">
      <c r="A38">
        <v>2120</v>
      </c>
      <c r="C38">
        <f>SUMIF('Workings Prior Month'!O:O,A38,'Workings Prior Month'!C:C)</f>
        <v>0</v>
      </c>
      <c r="E38">
        <f>SUMIF('Budget14-15'!M:M,A38,'Budget14-15'!H:H)</f>
        <v>0</v>
      </c>
      <c r="F38">
        <f t="shared" si="0"/>
        <v>0</v>
      </c>
    </row>
    <row r="39" spans="1:6" ht="12.75">
      <c r="A39">
        <v>2200</v>
      </c>
      <c r="C39">
        <f>SUMIF('Workings Prior Month'!O:O,A39,'Workings Prior Month'!C:C)</f>
        <v>19000</v>
      </c>
      <c r="E39">
        <f>SUMIF('Budget14-15'!M:M,A39,'Budget14-15'!H:H)</f>
        <v>-695837</v>
      </c>
      <c r="F39">
        <f t="shared" si="0"/>
        <v>714837</v>
      </c>
    </row>
    <row r="40" spans="1:6" ht="12.75">
      <c r="A40">
        <v>2210</v>
      </c>
      <c r="C40">
        <f>SUMIF('Workings Prior Month'!O:O,A40,'Workings Prior Month'!C:C)</f>
        <v>0</v>
      </c>
      <c r="E40">
        <f>SUMIF('Budget14-15'!M:M,A40,'Budget14-15'!H:H)</f>
        <v>0</v>
      </c>
      <c r="F40">
        <f t="shared" si="0"/>
        <v>0</v>
      </c>
    </row>
    <row r="41" spans="1:6" ht="12.75">
      <c r="A41">
        <v>2220</v>
      </c>
      <c r="C41">
        <f>SUMIF('Workings Prior Month'!O:O,A41,'Workings Prior Month'!C:C)</f>
        <v>0</v>
      </c>
      <c r="E41">
        <f>SUMIF('Budget14-15'!M:M,A41,'Budget14-15'!H:H)</f>
        <v>0</v>
      </c>
      <c r="F41">
        <f t="shared" si="0"/>
        <v>0</v>
      </c>
    </row>
    <row r="42" spans="1:6" ht="12.75">
      <c r="A42">
        <v>2230</v>
      </c>
      <c r="C42">
        <f>SUMIF('Workings Prior Month'!O:O,A42,'Workings Prior Month'!C:C)</f>
        <v>2000</v>
      </c>
      <c r="E42">
        <f>SUMIF('Budget14-15'!M:M,A42,'Budget14-15'!H:H)</f>
        <v>3000</v>
      </c>
      <c r="F42">
        <f t="shared" si="0"/>
        <v>-1000</v>
      </c>
    </row>
    <row r="43" spans="1:6" ht="12.75">
      <c r="A43">
        <v>3000</v>
      </c>
      <c r="C43">
        <f>SUMIF('Workings Prior Month'!O:O,A43,'Workings Prior Month'!C:C)</f>
        <v>125000</v>
      </c>
      <c r="E43">
        <f>SUMIF('Budget14-15'!M:M,A43,'Budget14-15'!H:H)</f>
        <v>0</v>
      </c>
      <c r="F43">
        <f t="shared" si="0"/>
        <v>125000</v>
      </c>
    </row>
    <row r="44" spans="1:6" ht="12.75">
      <c r="A44">
        <v>3100</v>
      </c>
      <c r="C44">
        <f>SUMIF('Workings Prior Month'!O:O,A44,'Workings Prior Month'!C:C)</f>
        <v>13000</v>
      </c>
      <c r="E44">
        <f>SUMIF('Budget14-15'!M:M,A44,'Budget14-15'!H:H)</f>
        <v>0</v>
      </c>
      <c r="F44">
        <f t="shared" si="0"/>
        <v>13000</v>
      </c>
    </row>
    <row r="45" spans="1:6" ht="12.75">
      <c r="A45">
        <v>3200</v>
      </c>
      <c r="C45">
        <f>SUMIF('Workings Prior Month'!O:O,A45,'Workings Prior Month'!C:C)</f>
        <v>17</v>
      </c>
      <c r="E45">
        <f>SUMIF('Budget14-15'!M:M,A45,'Budget14-15'!H:H)</f>
        <v>8500</v>
      </c>
      <c r="F45">
        <f t="shared" si="0"/>
        <v>-8483</v>
      </c>
    </row>
    <row r="46" spans="1:6" ht="12.75">
      <c r="A46">
        <v>4000</v>
      </c>
      <c r="C46">
        <f>SUMIF('Workings Prior Month'!O:O,A46,'Workings Prior Month'!C:C)</f>
        <v>1925</v>
      </c>
      <c r="E46">
        <f>SUMIF('Budget14-15'!M:M,A46,'Budget14-15'!H:H)</f>
        <v>0</v>
      </c>
      <c r="F46">
        <f t="shared" si="0"/>
        <v>1925</v>
      </c>
    </row>
    <row r="47" spans="1:6" ht="12.75">
      <c r="A47">
        <v>5100</v>
      </c>
      <c r="C47">
        <f>SUMIF('Workings Prior Month'!O:O,A47,'Workings Prior Month'!C:C)</f>
        <v>-6008596</v>
      </c>
      <c r="E47">
        <f>SUMIF('Budget14-15'!M:M,A47,'Budget14-15'!H:H)</f>
        <v>212417</v>
      </c>
      <c r="F47">
        <f t="shared" si="0"/>
        <v>-6221013</v>
      </c>
    </row>
    <row r="48" spans="1:6" ht="12.75">
      <c r="A48">
        <v>5200</v>
      </c>
      <c r="C48">
        <f>SUMIF('Workings Prior Month'!O:O,A48,'Workings Prior Month'!C:C)</f>
        <v>-331417</v>
      </c>
      <c r="E48">
        <f>SUMIF('Budget14-15'!M:M,A48,'Budget14-15'!H:H)</f>
        <v>5750</v>
      </c>
      <c r="F48">
        <f t="shared" si="0"/>
        <v>-337167</v>
      </c>
    </row>
    <row r="49" spans="1:6" ht="12.75">
      <c r="A49">
        <v>5300</v>
      </c>
      <c r="C49">
        <f>SUMIF('Workings Prior Month'!O:O,A49,'Workings Prior Month'!C:C)</f>
        <v>-510113</v>
      </c>
      <c r="E49">
        <f>SUMIF('Budget14-15'!M:M,A49,'Budget14-15'!H:H)</f>
        <v>124149</v>
      </c>
      <c r="F49">
        <f t="shared" si="0"/>
        <v>-634262</v>
      </c>
    </row>
    <row r="50" spans="1:6" ht="12.75">
      <c r="A50">
        <v>6000</v>
      </c>
      <c r="C50">
        <f>SUMIF('Workings Prior Month'!O:O,A50,'Workings Prior Month'!C:C)</f>
        <v>0</v>
      </c>
      <c r="E50">
        <f>SUMIF('Budget14-15'!M:M,A50,'Budget14-15'!H:H)</f>
        <v>0</v>
      </c>
      <c r="F50">
        <f t="shared" si="0"/>
        <v>0</v>
      </c>
    </row>
    <row r="51" spans="1:6" ht="12.75">
      <c r="A51">
        <v>6100</v>
      </c>
      <c r="C51">
        <f>SUMIF('Workings Prior Month'!O:O,A51,'Workings Prior Month'!C:C)</f>
        <v>0</v>
      </c>
      <c r="E51">
        <f>SUMIF('Budget14-15'!M:M,A51,'Budget14-15'!H:H)</f>
        <v>0</v>
      </c>
      <c r="F51">
        <f t="shared" si="0"/>
        <v>0</v>
      </c>
    </row>
    <row r="52" spans="1:6" ht="12.75">
      <c r="A52">
        <v>6200</v>
      </c>
      <c r="C52">
        <f>SUMIF('Workings Prior Month'!O:O,A52,'Workings Prior Month'!C:C)</f>
        <v>-789570</v>
      </c>
      <c r="E52">
        <f>SUMIF('Budget14-15'!M:M,A52,'Budget14-15'!H:H)</f>
        <v>4965</v>
      </c>
      <c r="F52">
        <f t="shared" si="0"/>
        <v>-794535</v>
      </c>
    </row>
    <row r="53" spans="1:6" ht="12.75">
      <c r="A53">
        <v>9100</v>
      </c>
      <c r="C53">
        <f>SUMIF('Workings Prior Month'!O:O,A53,'Workings Prior Month'!C:C)</f>
        <v>789570</v>
      </c>
      <c r="E53">
        <f>SUMIF('Budget14-15'!M:M,A53,'Budget14-15'!H:H)</f>
        <v>0</v>
      </c>
      <c r="F53">
        <f t="shared" si="0"/>
        <v>789570</v>
      </c>
    </row>
    <row r="54" spans="1:6" ht="12.75">
      <c r="A54">
        <v>9500</v>
      </c>
      <c r="C54">
        <f>SUMIF('Workings Prior Month'!O:O,A54,'Workings Prior Month'!C:C)</f>
        <v>0</v>
      </c>
      <c r="E54">
        <f>SUMIF('Budget14-15'!M:M,A54,'Budget14-15'!H:H)</f>
        <v>0</v>
      </c>
      <c r="F54">
        <f t="shared" si="0"/>
        <v>0</v>
      </c>
    </row>
    <row r="55" spans="1:6" ht="12.75">
      <c r="A55">
        <v>9900</v>
      </c>
      <c r="C55">
        <f>SUMIF('Workings Prior Month'!O:O,A55,'Workings Prior Month'!C:C)</f>
        <v>54530</v>
      </c>
      <c r="E55">
        <f>SUMIF('Budget14-15'!M:M,A55,'Budget14-15'!H:H)</f>
        <v>11104</v>
      </c>
      <c r="F55">
        <f t="shared" si="0"/>
        <v>43426</v>
      </c>
    </row>
    <row r="57" spans="3:6" ht="12.75">
      <c r="C57">
        <f>SUM(C1:C56)</f>
        <v>0</v>
      </c>
      <c r="D57">
        <f>SUM(D1:D56)</f>
        <v>0</v>
      </c>
      <c r="E57">
        <f>SUM(E1:E56)</f>
        <v>0</v>
      </c>
      <c r="F57">
        <f>SUM(F1:F56)</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2:W325"/>
  <sheetViews>
    <sheetView zoomScalePageLayoutView="0" workbookViewId="0" topLeftCell="A1">
      <selection activeCell="A2" sqref="A2:I223"/>
    </sheetView>
  </sheetViews>
  <sheetFormatPr defaultColWidth="9.140625" defaultRowHeight="14.25" customHeight="1"/>
  <cols>
    <col min="1" max="1" width="12.8515625" style="0" bestFit="1" customWidth="1"/>
    <col min="2" max="2" width="9.7109375" style="0" bestFit="1" customWidth="1"/>
    <col min="3" max="3" width="31.28125" style="0" bestFit="1" customWidth="1"/>
    <col min="4" max="4" width="8.57421875" style="0" bestFit="1" customWidth="1"/>
    <col min="5" max="5" width="10.28125" style="0" bestFit="1" customWidth="1"/>
    <col min="6" max="6" width="4.140625" style="0" bestFit="1" customWidth="1"/>
    <col min="7" max="7" width="11.00390625" style="0" bestFit="1" customWidth="1"/>
    <col min="8" max="8" width="10.57421875" style="0" bestFit="1" customWidth="1"/>
    <col min="9" max="9" width="8.57421875" style="0" bestFit="1" customWidth="1"/>
    <col min="10" max="10" width="8.28125" style="0" customWidth="1"/>
    <col min="11" max="11" width="12.8515625" style="0" bestFit="1" customWidth="1"/>
    <col min="12" max="12" width="9.7109375" style="0" bestFit="1" customWidth="1"/>
    <col min="13" max="13" width="31.28125" style="0" bestFit="1" customWidth="1"/>
    <col min="14" max="14" width="8.57421875" style="0" bestFit="1" customWidth="1"/>
    <col min="15" max="15" width="10.28125" style="0" bestFit="1" customWidth="1"/>
    <col min="16" max="16" width="4.140625" style="0" bestFit="1" customWidth="1"/>
    <col min="17" max="17" width="11.00390625" style="0" bestFit="1" customWidth="1"/>
    <col min="18" max="18" width="10.57421875" style="0" bestFit="1" customWidth="1"/>
    <col min="19" max="19" width="8.57421875" style="0" bestFit="1" customWidth="1"/>
    <col min="20" max="20" width="2.00390625" style="0" bestFit="1" customWidth="1"/>
    <col min="21" max="21" width="31.28125" style="0" bestFit="1" customWidth="1"/>
    <col min="22" max="22" width="19.421875" style="0" bestFit="1" customWidth="1"/>
    <col min="23" max="23" width="8.28125" style="0" bestFit="1" customWidth="1"/>
  </cols>
  <sheetData>
    <row r="2" spans="1:23" ht="14.25" customHeight="1">
      <c r="A2" s="291">
        <v>4448</v>
      </c>
      <c r="B2" s="291">
        <v>101</v>
      </c>
      <c r="C2" s="291" t="s">
        <v>64</v>
      </c>
      <c r="D2" s="291">
        <v>517424</v>
      </c>
      <c r="E2" s="291">
        <v>349773.15</v>
      </c>
      <c r="F2" s="291">
        <v>0</v>
      </c>
      <c r="G2" s="291">
        <v>166161.94</v>
      </c>
      <c r="H2" s="291">
        <v>1488.91</v>
      </c>
      <c r="I2" s="291">
        <v>99.71</v>
      </c>
      <c r="K2" s="291">
        <v>4448</v>
      </c>
      <c r="L2" s="291">
        <v>101</v>
      </c>
      <c r="M2" s="291" t="s">
        <v>64</v>
      </c>
      <c r="N2" s="291">
        <v>520424</v>
      </c>
      <c r="O2" s="291">
        <v>441575.77</v>
      </c>
      <c r="P2" s="291">
        <v>0</v>
      </c>
      <c r="Q2" s="291">
        <v>79847.26</v>
      </c>
      <c r="R2" s="291">
        <v>-999.03</v>
      </c>
      <c r="S2" s="291">
        <v>100.19</v>
      </c>
      <c r="U2" s="70"/>
      <c r="V2" s="47"/>
      <c r="W2" s="37"/>
    </row>
    <row r="3" spans="1:23" ht="14.25" customHeight="1">
      <c r="A3" s="291">
        <v>4456</v>
      </c>
      <c r="B3" s="291">
        <v>102</v>
      </c>
      <c r="C3" s="291" t="s">
        <v>65</v>
      </c>
      <c r="D3" s="291">
        <v>0</v>
      </c>
      <c r="E3" s="291">
        <v>0</v>
      </c>
      <c r="F3" s="291">
        <v>0</v>
      </c>
      <c r="G3" s="291">
        <v>0</v>
      </c>
      <c r="H3" s="291">
        <v>0</v>
      </c>
      <c r="I3" s="291">
        <v>0</v>
      </c>
      <c r="K3" s="291">
        <v>4456</v>
      </c>
      <c r="L3" s="291">
        <v>102</v>
      </c>
      <c r="M3" s="291" t="s">
        <v>65</v>
      </c>
      <c r="N3" s="291">
        <v>0</v>
      </c>
      <c r="O3" s="291">
        <v>0</v>
      </c>
      <c r="P3" s="291">
        <v>0</v>
      </c>
      <c r="Q3" s="291">
        <v>0</v>
      </c>
      <c r="R3" s="291">
        <v>0</v>
      </c>
      <c r="S3" s="291">
        <v>0</v>
      </c>
      <c r="U3" s="70"/>
      <c r="V3" s="47"/>
      <c r="W3" s="37"/>
    </row>
    <row r="4" spans="1:23" ht="14.25" customHeight="1">
      <c r="A4" s="291">
        <v>4457</v>
      </c>
      <c r="B4" s="291">
        <v>103</v>
      </c>
      <c r="C4" s="291" t="s">
        <v>66</v>
      </c>
      <c r="D4" s="291">
        <v>0</v>
      </c>
      <c r="E4" s="291">
        <v>0</v>
      </c>
      <c r="F4" s="291">
        <v>0</v>
      </c>
      <c r="G4" s="291">
        <v>0</v>
      </c>
      <c r="H4" s="291">
        <v>0</v>
      </c>
      <c r="I4" s="291">
        <v>0</v>
      </c>
      <c r="K4" s="291">
        <v>4457</v>
      </c>
      <c r="L4" s="291">
        <v>103</v>
      </c>
      <c r="M4" s="291" t="s">
        <v>66</v>
      </c>
      <c r="N4" s="291">
        <v>0</v>
      </c>
      <c r="O4" s="291">
        <v>0</v>
      </c>
      <c r="P4" s="291">
        <v>0</v>
      </c>
      <c r="Q4" s="291">
        <v>0</v>
      </c>
      <c r="R4" s="291">
        <v>0</v>
      </c>
      <c r="S4" s="291">
        <v>0</v>
      </c>
      <c r="U4" s="70"/>
      <c r="V4" s="47"/>
      <c r="W4" s="37"/>
    </row>
    <row r="5" spans="1:23" ht="14.25" customHeight="1">
      <c r="A5" s="291">
        <v>4454</v>
      </c>
      <c r="B5" s="291">
        <v>104</v>
      </c>
      <c r="C5" s="291" t="s">
        <v>67</v>
      </c>
      <c r="D5" s="291">
        <v>0</v>
      </c>
      <c r="E5" s="291">
        <v>0</v>
      </c>
      <c r="F5" s="291">
        <v>0</v>
      </c>
      <c r="G5" s="291">
        <v>0</v>
      </c>
      <c r="H5" s="291">
        <v>0</v>
      </c>
      <c r="I5" s="291">
        <v>0</v>
      </c>
      <c r="K5" s="291">
        <v>4454</v>
      </c>
      <c r="L5" s="291">
        <v>104</v>
      </c>
      <c r="M5" s="291" t="s">
        <v>67</v>
      </c>
      <c r="N5" s="291">
        <v>0</v>
      </c>
      <c r="O5" s="291">
        <v>0</v>
      </c>
      <c r="P5" s="291">
        <v>0</v>
      </c>
      <c r="Q5" s="291">
        <v>0</v>
      </c>
      <c r="R5" s="291">
        <v>0</v>
      </c>
      <c r="S5" s="291">
        <v>0</v>
      </c>
      <c r="U5" s="70"/>
      <c r="V5" s="47"/>
      <c r="W5" s="37"/>
    </row>
    <row r="6" spans="1:23" ht="14.25" customHeight="1">
      <c r="A6" s="291">
        <v>4455</v>
      </c>
      <c r="B6" s="291">
        <v>105</v>
      </c>
      <c r="C6" s="291" t="s">
        <v>68</v>
      </c>
      <c r="D6" s="291">
        <v>147622</v>
      </c>
      <c r="E6" s="291">
        <v>99973.58</v>
      </c>
      <c r="F6" s="291">
        <v>0</v>
      </c>
      <c r="G6" s="291">
        <v>46796.41</v>
      </c>
      <c r="H6" s="291">
        <v>852.01</v>
      </c>
      <c r="I6" s="291">
        <v>99.42</v>
      </c>
      <c r="K6" s="291">
        <v>4455</v>
      </c>
      <c r="L6" s="291">
        <v>105</v>
      </c>
      <c r="M6" s="291" t="s">
        <v>68</v>
      </c>
      <c r="N6" s="291">
        <v>144622</v>
      </c>
      <c r="O6" s="291">
        <v>122677.25</v>
      </c>
      <c r="P6" s="291">
        <v>0</v>
      </c>
      <c r="Q6" s="291">
        <v>21779.55</v>
      </c>
      <c r="R6" s="291">
        <v>165.2</v>
      </c>
      <c r="S6" s="291">
        <v>99.89</v>
      </c>
      <c r="U6" s="70"/>
      <c r="V6" s="47"/>
      <c r="W6" s="37"/>
    </row>
    <row r="7" spans="1:23" ht="14.25" customHeight="1">
      <c r="A7" s="291">
        <v>4400</v>
      </c>
      <c r="B7" s="291">
        <v>106</v>
      </c>
      <c r="C7" s="291" t="s">
        <v>69</v>
      </c>
      <c r="D7" s="291">
        <v>4140</v>
      </c>
      <c r="E7" s="291">
        <v>2733.33</v>
      </c>
      <c r="F7" s="291">
        <v>0</v>
      </c>
      <c r="G7" s="291">
        <v>1329.94</v>
      </c>
      <c r="H7" s="291">
        <v>76.73</v>
      </c>
      <c r="I7" s="291">
        <v>98.15</v>
      </c>
      <c r="K7" s="291">
        <v>4400</v>
      </c>
      <c r="L7" s="291">
        <v>106</v>
      </c>
      <c r="M7" s="291" t="s">
        <v>69</v>
      </c>
      <c r="N7" s="291">
        <v>4140</v>
      </c>
      <c r="O7" s="291">
        <v>3416.67</v>
      </c>
      <c r="P7" s="291">
        <v>0</v>
      </c>
      <c r="Q7" s="291">
        <v>675.48</v>
      </c>
      <c r="R7" s="291">
        <v>47.85</v>
      </c>
      <c r="S7" s="291">
        <v>98.84</v>
      </c>
      <c r="U7" s="70"/>
      <c r="V7" s="47"/>
      <c r="W7" s="37"/>
    </row>
    <row r="8" spans="1:23" ht="14.25" customHeight="1">
      <c r="A8" s="291">
        <v>4449</v>
      </c>
      <c r="B8" s="291">
        <v>107</v>
      </c>
      <c r="C8" s="291" t="s">
        <v>70</v>
      </c>
      <c r="D8" s="291">
        <v>0</v>
      </c>
      <c r="E8" s="291">
        <v>0</v>
      </c>
      <c r="F8" s="291">
        <v>0</v>
      </c>
      <c r="G8" s="291">
        <v>0</v>
      </c>
      <c r="H8" s="291">
        <v>0</v>
      </c>
      <c r="I8" s="291">
        <v>0</v>
      </c>
      <c r="K8" s="291">
        <v>4449</v>
      </c>
      <c r="L8" s="291">
        <v>107</v>
      </c>
      <c r="M8" s="291" t="s">
        <v>70</v>
      </c>
      <c r="N8" s="291">
        <v>0</v>
      </c>
      <c r="O8" s="291">
        <v>0</v>
      </c>
      <c r="P8" s="291">
        <v>0</v>
      </c>
      <c r="Q8" s="291">
        <v>0</v>
      </c>
      <c r="R8" s="291">
        <v>0</v>
      </c>
      <c r="S8" s="291">
        <v>0</v>
      </c>
      <c r="U8" s="70"/>
      <c r="V8" s="47"/>
      <c r="W8" s="37"/>
    </row>
    <row r="9" spans="1:23" ht="14.25" customHeight="1">
      <c r="A9" s="291">
        <v>4450</v>
      </c>
      <c r="B9" s="291">
        <v>108</v>
      </c>
      <c r="C9" s="291" t="s">
        <v>71</v>
      </c>
      <c r="D9" s="291">
        <v>3270579</v>
      </c>
      <c r="E9" s="291">
        <v>2224665.61</v>
      </c>
      <c r="F9" s="291">
        <v>0</v>
      </c>
      <c r="G9" s="291">
        <v>1043497.43</v>
      </c>
      <c r="H9" s="291">
        <v>2415.96</v>
      </c>
      <c r="I9" s="291">
        <v>99.93</v>
      </c>
      <c r="K9" s="291">
        <v>4450</v>
      </c>
      <c r="L9" s="291">
        <v>108</v>
      </c>
      <c r="M9" s="291" t="s">
        <v>71</v>
      </c>
      <c r="N9" s="291">
        <v>3270579</v>
      </c>
      <c r="O9" s="291">
        <v>2784187.58</v>
      </c>
      <c r="P9" s="291">
        <v>0</v>
      </c>
      <c r="Q9" s="291">
        <v>458257.76</v>
      </c>
      <c r="R9" s="291">
        <v>28133.66</v>
      </c>
      <c r="S9" s="291">
        <v>99.14</v>
      </c>
      <c r="U9" s="70"/>
      <c r="V9" s="47"/>
      <c r="W9" s="37"/>
    </row>
    <row r="10" spans="1:23" ht="14.25" customHeight="1">
      <c r="A10" s="291">
        <v>4402</v>
      </c>
      <c r="B10" s="291">
        <v>112</v>
      </c>
      <c r="C10" s="291" t="s">
        <v>73</v>
      </c>
      <c r="D10" s="291">
        <v>414850</v>
      </c>
      <c r="E10" s="291">
        <v>264756.23</v>
      </c>
      <c r="F10" s="291">
        <v>0</v>
      </c>
      <c r="G10" s="291">
        <v>151946.13</v>
      </c>
      <c r="H10" s="291">
        <v>-1852.36</v>
      </c>
      <c r="I10" s="291">
        <v>100.45</v>
      </c>
      <c r="K10" s="291">
        <v>4402</v>
      </c>
      <c r="L10" s="291">
        <v>112</v>
      </c>
      <c r="M10" s="291" t="s">
        <v>73</v>
      </c>
      <c r="N10" s="291">
        <v>414850</v>
      </c>
      <c r="O10" s="291">
        <v>330945.29</v>
      </c>
      <c r="P10" s="291">
        <v>0</v>
      </c>
      <c r="Q10" s="291">
        <v>76738.63</v>
      </c>
      <c r="R10" s="291">
        <v>7166.08</v>
      </c>
      <c r="S10" s="291">
        <v>98.27</v>
      </c>
      <c r="U10" s="70"/>
      <c r="V10" s="47"/>
      <c r="W10" s="37"/>
    </row>
    <row r="11" spans="1:23" ht="14.25" customHeight="1">
      <c r="A11" s="291">
        <v>4403</v>
      </c>
      <c r="B11" s="291">
        <v>113</v>
      </c>
      <c r="C11" s="291" t="s">
        <v>74</v>
      </c>
      <c r="D11" s="291">
        <v>56100</v>
      </c>
      <c r="E11" s="291">
        <v>37394.68</v>
      </c>
      <c r="F11" s="291">
        <v>0</v>
      </c>
      <c r="G11" s="291">
        <v>18697.33</v>
      </c>
      <c r="H11" s="291">
        <v>7.99</v>
      </c>
      <c r="I11" s="291">
        <v>99.99</v>
      </c>
      <c r="K11" s="291">
        <v>4403</v>
      </c>
      <c r="L11" s="291">
        <v>113</v>
      </c>
      <c r="M11" s="291" t="s">
        <v>74</v>
      </c>
      <c r="N11" s="291">
        <v>56100</v>
      </c>
      <c r="O11" s="291">
        <v>46743.34</v>
      </c>
      <c r="P11" s="291">
        <v>0</v>
      </c>
      <c r="Q11" s="291">
        <v>8948.15</v>
      </c>
      <c r="R11" s="291">
        <v>408.51</v>
      </c>
      <c r="S11" s="291">
        <v>99.27</v>
      </c>
      <c r="U11" s="70"/>
      <c r="V11" s="47"/>
      <c r="W11" s="37"/>
    </row>
    <row r="12" spans="1:23" ht="14.25" customHeight="1">
      <c r="A12" s="291">
        <v>4404</v>
      </c>
      <c r="B12" s="291">
        <v>114</v>
      </c>
      <c r="C12" s="291" t="s">
        <v>75</v>
      </c>
      <c r="D12" s="291">
        <v>32331</v>
      </c>
      <c r="E12" s="291">
        <v>21394.96</v>
      </c>
      <c r="F12" s="291">
        <v>0</v>
      </c>
      <c r="G12" s="291">
        <v>10696.72</v>
      </c>
      <c r="H12" s="291">
        <v>239.32</v>
      </c>
      <c r="I12" s="291">
        <v>99.26</v>
      </c>
      <c r="K12" s="291">
        <v>4404</v>
      </c>
      <c r="L12" s="291">
        <v>114</v>
      </c>
      <c r="M12" s="291" t="s">
        <v>75</v>
      </c>
      <c r="N12" s="291">
        <v>32331</v>
      </c>
      <c r="O12" s="291">
        <v>26743.7</v>
      </c>
      <c r="P12" s="291">
        <v>0</v>
      </c>
      <c r="Q12" s="291">
        <v>5348.36</v>
      </c>
      <c r="R12" s="291">
        <v>238.94</v>
      </c>
      <c r="S12" s="291">
        <v>99.26</v>
      </c>
      <c r="U12" s="70"/>
      <c r="V12" s="47"/>
      <c r="W12" s="37"/>
    </row>
    <row r="13" spans="1:23" ht="14.25" customHeight="1">
      <c r="A13" s="291">
        <v>4405</v>
      </c>
      <c r="B13" s="291">
        <v>115</v>
      </c>
      <c r="C13" s="291" t="s">
        <v>555</v>
      </c>
      <c r="D13" s="291">
        <v>286779</v>
      </c>
      <c r="E13" s="291">
        <v>235512.95</v>
      </c>
      <c r="F13" s="291">
        <v>0</v>
      </c>
      <c r="G13" s="291">
        <v>60218.27</v>
      </c>
      <c r="H13" s="291">
        <v>-8952.22</v>
      </c>
      <c r="I13" s="291">
        <v>103.12</v>
      </c>
      <c r="K13" s="291">
        <v>4405</v>
      </c>
      <c r="L13" s="291">
        <v>115</v>
      </c>
      <c r="M13" s="291" t="s">
        <v>555</v>
      </c>
      <c r="N13" s="291">
        <v>286779</v>
      </c>
      <c r="O13" s="291">
        <v>296958.69</v>
      </c>
      <c r="P13" s="291">
        <v>0</v>
      </c>
      <c r="Q13" s="291">
        <v>-554.44</v>
      </c>
      <c r="R13" s="291">
        <v>-9625.25</v>
      </c>
      <c r="S13" s="291">
        <v>103.36</v>
      </c>
      <c r="U13" s="70"/>
      <c r="V13" s="47"/>
      <c r="W13" s="37"/>
    </row>
    <row r="14" spans="1:23" ht="14.25" customHeight="1">
      <c r="A14" s="291">
        <v>4406</v>
      </c>
      <c r="B14" s="291">
        <v>116</v>
      </c>
      <c r="C14" s="291" t="s">
        <v>77</v>
      </c>
      <c r="D14" s="291">
        <v>124654</v>
      </c>
      <c r="E14" s="291">
        <v>88127.18</v>
      </c>
      <c r="F14" s="291">
        <v>0</v>
      </c>
      <c r="G14" s="291">
        <v>34260.4</v>
      </c>
      <c r="H14" s="291">
        <v>2266.42</v>
      </c>
      <c r="I14" s="291">
        <v>98.18</v>
      </c>
      <c r="K14" s="291">
        <v>4406</v>
      </c>
      <c r="L14" s="291">
        <v>116</v>
      </c>
      <c r="M14" s="291" t="s">
        <v>77</v>
      </c>
      <c r="N14" s="291">
        <v>124654</v>
      </c>
      <c r="O14" s="291">
        <v>104275.95</v>
      </c>
      <c r="P14" s="291">
        <v>0</v>
      </c>
      <c r="Q14" s="291">
        <v>12617.08</v>
      </c>
      <c r="R14" s="291">
        <v>7760.97</v>
      </c>
      <c r="S14" s="291">
        <v>93.77</v>
      </c>
      <c r="U14" s="70"/>
      <c r="V14" s="47"/>
      <c r="W14" s="37"/>
    </row>
    <row r="15" spans="1:23" ht="14.25" customHeight="1">
      <c r="A15" s="291">
        <v>4426</v>
      </c>
      <c r="B15" s="291">
        <v>117</v>
      </c>
      <c r="C15" s="291" t="s">
        <v>78</v>
      </c>
      <c r="D15" s="291">
        <v>173952</v>
      </c>
      <c r="E15" s="291">
        <v>119926.74</v>
      </c>
      <c r="F15" s="291">
        <v>0</v>
      </c>
      <c r="G15" s="291">
        <v>51836.3</v>
      </c>
      <c r="H15" s="291">
        <v>2188.96</v>
      </c>
      <c r="I15" s="291">
        <v>98.74</v>
      </c>
      <c r="K15" s="291">
        <v>4426</v>
      </c>
      <c r="L15" s="291">
        <v>117</v>
      </c>
      <c r="M15" s="291" t="s">
        <v>78</v>
      </c>
      <c r="N15" s="291">
        <v>156952</v>
      </c>
      <c r="O15" s="291">
        <v>130582.76</v>
      </c>
      <c r="P15" s="291">
        <v>0</v>
      </c>
      <c r="Q15" s="291">
        <v>25900.22</v>
      </c>
      <c r="R15" s="291">
        <v>469.02</v>
      </c>
      <c r="S15" s="291">
        <v>99.7</v>
      </c>
      <c r="U15" s="70"/>
      <c r="V15" s="47"/>
      <c r="W15" s="37"/>
    </row>
    <row r="16" spans="1:23" ht="14.25" customHeight="1">
      <c r="A16" s="291">
        <v>4428</v>
      </c>
      <c r="B16" s="291">
        <v>118</v>
      </c>
      <c r="C16" s="291" t="s">
        <v>79</v>
      </c>
      <c r="D16" s="291">
        <v>137517</v>
      </c>
      <c r="E16" s="291">
        <v>91144.88</v>
      </c>
      <c r="F16" s="291">
        <v>0</v>
      </c>
      <c r="G16" s="291">
        <v>45264.79</v>
      </c>
      <c r="H16" s="291">
        <v>1107.33</v>
      </c>
      <c r="I16" s="291">
        <v>99.19</v>
      </c>
      <c r="K16" s="291">
        <v>4428</v>
      </c>
      <c r="L16" s="291">
        <v>118</v>
      </c>
      <c r="M16" s="291" t="s">
        <v>79</v>
      </c>
      <c r="N16" s="291">
        <v>137517</v>
      </c>
      <c r="O16" s="291">
        <v>113846.48</v>
      </c>
      <c r="P16" s="291">
        <v>0</v>
      </c>
      <c r="Q16" s="291">
        <v>22701.58</v>
      </c>
      <c r="R16" s="291">
        <v>968.94</v>
      </c>
      <c r="S16" s="291">
        <v>99.3</v>
      </c>
      <c r="U16" s="70"/>
      <c r="V16" s="47"/>
      <c r="W16" s="37"/>
    </row>
    <row r="17" spans="1:23" ht="14.25" customHeight="1">
      <c r="A17" s="291">
        <v>4483</v>
      </c>
      <c r="B17" s="291">
        <v>120</v>
      </c>
      <c r="C17" s="291" t="s">
        <v>80</v>
      </c>
      <c r="D17" s="291">
        <v>89850</v>
      </c>
      <c r="E17" s="291">
        <v>45321.98</v>
      </c>
      <c r="F17" s="291">
        <v>0</v>
      </c>
      <c r="G17" s="291">
        <v>31167.14</v>
      </c>
      <c r="H17" s="291">
        <v>13360.88</v>
      </c>
      <c r="I17" s="291">
        <v>85.13</v>
      </c>
      <c r="K17" s="291">
        <v>4483</v>
      </c>
      <c r="L17" s="291">
        <v>120</v>
      </c>
      <c r="M17" s="291" t="s">
        <v>80</v>
      </c>
      <c r="N17" s="291">
        <v>89850</v>
      </c>
      <c r="O17" s="291">
        <v>57054.82</v>
      </c>
      <c r="P17" s="291">
        <v>0</v>
      </c>
      <c r="Q17" s="291">
        <v>19858.38</v>
      </c>
      <c r="R17" s="291">
        <v>12936.8</v>
      </c>
      <c r="S17" s="291">
        <v>85.6</v>
      </c>
      <c r="U17" s="70"/>
      <c r="V17" s="47"/>
      <c r="W17" s="37"/>
    </row>
    <row r="18" spans="1:23" ht="14.25" customHeight="1">
      <c r="A18" s="291">
        <v>4484</v>
      </c>
      <c r="B18" s="291">
        <v>121</v>
      </c>
      <c r="C18" s="291" t="s">
        <v>81</v>
      </c>
      <c r="D18" s="291">
        <v>19652</v>
      </c>
      <c r="E18" s="291">
        <v>13488.85</v>
      </c>
      <c r="F18" s="291">
        <v>0</v>
      </c>
      <c r="G18" s="291">
        <v>6603.84</v>
      </c>
      <c r="H18" s="291">
        <v>-440.69</v>
      </c>
      <c r="I18" s="291">
        <v>102.24</v>
      </c>
      <c r="K18" s="291">
        <v>4484</v>
      </c>
      <c r="L18" s="291">
        <v>121</v>
      </c>
      <c r="M18" s="291" t="s">
        <v>81</v>
      </c>
      <c r="N18" s="291">
        <v>19652</v>
      </c>
      <c r="O18" s="291">
        <v>16794.41</v>
      </c>
      <c r="P18" s="291">
        <v>0</v>
      </c>
      <c r="Q18" s="291">
        <v>3301.92</v>
      </c>
      <c r="R18" s="291">
        <v>-444.33</v>
      </c>
      <c r="S18" s="291">
        <v>102.26</v>
      </c>
      <c r="U18" s="70"/>
      <c r="V18" s="47"/>
      <c r="W18" s="37"/>
    </row>
    <row r="19" spans="1:23" ht="14.25" customHeight="1">
      <c r="A19" s="291">
        <v>4485</v>
      </c>
      <c r="B19" s="291">
        <v>122</v>
      </c>
      <c r="C19" s="291" t="s">
        <v>82</v>
      </c>
      <c r="D19" s="291">
        <v>32032</v>
      </c>
      <c r="E19" s="291">
        <v>22190.6</v>
      </c>
      <c r="F19" s="291">
        <v>0</v>
      </c>
      <c r="G19" s="291">
        <v>10889.42</v>
      </c>
      <c r="H19" s="291">
        <v>-1048.02</v>
      </c>
      <c r="I19" s="291">
        <v>103.27</v>
      </c>
      <c r="K19" s="291">
        <v>4485</v>
      </c>
      <c r="L19" s="291">
        <v>122</v>
      </c>
      <c r="M19" s="291" t="s">
        <v>82</v>
      </c>
      <c r="N19" s="291">
        <v>32032</v>
      </c>
      <c r="O19" s="291">
        <v>27670.71</v>
      </c>
      <c r="P19" s="291">
        <v>0</v>
      </c>
      <c r="Q19" s="291">
        <v>5479.96</v>
      </c>
      <c r="R19" s="291">
        <v>-1118.67</v>
      </c>
      <c r="S19" s="291">
        <v>103.49</v>
      </c>
      <c r="U19" s="70"/>
      <c r="V19" s="47"/>
      <c r="W19" s="37"/>
    </row>
    <row r="20" spans="1:23" ht="14.25" customHeight="1">
      <c r="A20" s="291">
        <v>4486</v>
      </c>
      <c r="B20" s="291">
        <v>150</v>
      </c>
      <c r="C20" s="291" t="s">
        <v>83</v>
      </c>
      <c r="D20" s="291">
        <v>20000</v>
      </c>
      <c r="E20" s="291">
        <v>4845</v>
      </c>
      <c r="F20" s="291">
        <v>0</v>
      </c>
      <c r="G20" s="291">
        <v>7851.88</v>
      </c>
      <c r="H20" s="291">
        <v>7303.12</v>
      </c>
      <c r="I20" s="291">
        <v>63.48</v>
      </c>
      <c r="K20" s="291">
        <v>4486</v>
      </c>
      <c r="L20" s="291">
        <v>150</v>
      </c>
      <c r="M20" s="291" t="s">
        <v>83</v>
      </c>
      <c r="N20" s="291">
        <v>20000</v>
      </c>
      <c r="O20" s="291">
        <v>3960</v>
      </c>
      <c r="P20" s="291">
        <v>0</v>
      </c>
      <c r="Q20" s="291">
        <v>875.88</v>
      </c>
      <c r="R20" s="291">
        <v>15164.12</v>
      </c>
      <c r="S20" s="291">
        <v>24.18</v>
      </c>
      <c r="U20" s="58"/>
      <c r="V20" s="47"/>
      <c r="W20" s="37"/>
    </row>
    <row r="21" spans="1:23" ht="14.25" customHeight="1">
      <c r="A21" s="291">
        <v>4487</v>
      </c>
      <c r="B21" s="291">
        <v>151</v>
      </c>
      <c r="C21" s="291" t="s">
        <v>84</v>
      </c>
      <c r="D21" s="291">
        <v>4000</v>
      </c>
      <c r="E21" s="291">
        <v>527.5</v>
      </c>
      <c r="F21" s="291">
        <v>0</v>
      </c>
      <c r="G21" s="291">
        <v>-282.34</v>
      </c>
      <c r="H21" s="291">
        <v>3754.84</v>
      </c>
      <c r="I21" s="291">
        <v>6.13</v>
      </c>
      <c r="K21" s="291">
        <v>4487</v>
      </c>
      <c r="L21" s="291">
        <v>151</v>
      </c>
      <c r="M21" s="291" t="s">
        <v>84</v>
      </c>
      <c r="N21" s="291">
        <v>4000</v>
      </c>
      <c r="O21" s="291">
        <v>644.49</v>
      </c>
      <c r="P21" s="291">
        <v>0</v>
      </c>
      <c r="Q21" s="291">
        <v>-482.73</v>
      </c>
      <c r="R21" s="291">
        <v>3838.24</v>
      </c>
      <c r="S21" s="291">
        <v>4.04</v>
      </c>
      <c r="U21" s="70"/>
      <c r="V21" s="47"/>
      <c r="W21" s="37"/>
    </row>
    <row r="22" spans="1:23" ht="14.25" customHeight="1">
      <c r="A22" s="291">
        <v>4510</v>
      </c>
      <c r="B22" s="291">
        <v>158</v>
      </c>
      <c r="C22" s="291" t="s">
        <v>86</v>
      </c>
      <c r="D22" s="291">
        <v>92000</v>
      </c>
      <c r="E22" s="291">
        <v>61600</v>
      </c>
      <c r="F22" s="291">
        <v>0</v>
      </c>
      <c r="G22" s="291">
        <v>32933.69</v>
      </c>
      <c r="H22" s="291">
        <v>-2533.69</v>
      </c>
      <c r="I22" s="291">
        <v>102.75</v>
      </c>
      <c r="K22" s="291">
        <v>4510</v>
      </c>
      <c r="L22" s="291">
        <v>158</v>
      </c>
      <c r="M22" s="291" t="s">
        <v>86</v>
      </c>
      <c r="N22" s="291">
        <v>92000</v>
      </c>
      <c r="O22" s="291">
        <v>77000</v>
      </c>
      <c r="P22" s="291">
        <v>0</v>
      </c>
      <c r="Q22" s="291">
        <v>16198.38</v>
      </c>
      <c r="R22" s="291">
        <v>-1198.38</v>
      </c>
      <c r="S22" s="291">
        <v>101.3</v>
      </c>
      <c r="U22" s="70"/>
      <c r="V22" s="47"/>
      <c r="W22" s="37"/>
    </row>
    <row r="23" spans="1:23" ht="14.25" customHeight="1">
      <c r="A23" s="291">
        <v>4407</v>
      </c>
      <c r="B23" s="291">
        <v>200</v>
      </c>
      <c r="C23" s="291" t="s">
        <v>556</v>
      </c>
      <c r="D23" s="291">
        <v>-6008596</v>
      </c>
      <c r="E23" s="291">
        <v>0</v>
      </c>
      <c r="F23" s="291">
        <v>0</v>
      </c>
      <c r="G23" s="291">
        <v>-2494181.13</v>
      </c>
      <c r="H23" s="291">
        <v>-3514414.87</v>
      </c>
      <c r="I23" s="291">
        <v>41.51</v>
      </c>
      <c r="K23" s="291">
        <v>4407</v>
      </c>
      <c r="L23" s="291">
        <v>200</v>
      </c>
      <c r="M23" s="291" t="s">
        <v>556</v>
      </c>
      <c r="N23" s="291">
        <v>-6008596</v>
      </c>
      <c r="O23" s="291">
        <v>0</v>
      </c>
      <c r="P23" s="291">
        <v>0</v>
      </c>
      <c r="Q23" s="291">
        <v>-1499344.88</v>
      </c>
      <c r="R23" s="291">
        <v>-4509251.12</v>
      </c>
      <c r="S23" s="291">
        <v>24.95</v>
      </c>
      <c r="U23" s="70"/>
      <c r="V23" s="47"/>
      <c r="W23" s="37"/>
    </row>
    <row r="24" spans="1:23" ht="14.25" customHeight="1">
      <c r="A24" s="291">
        <v>4527</v>
      </c>
      <c r="B24" s="291">
        <v>201</v>
      </c>
      <c r="C24" s="291" t="s">
        <v>88</v>
      </c>
      <c r="D24" s="291">
        <v>-313570</v>
      </c>
      <c r="E24" s="291">
        <v>0</v>
      </c>
      <c r="F24" s="291">
        <v>0</v>
      </c>
      <c r="G24" s="291">
        <v>-162522</v>
      </c>
      <c r="H24" s="291">
        <v>-151048</v>
      </c>
      <c r="I24" s="291">
        <v>51.83</v>
      </c>
      <c r="K24" s="291">
        <v>4527</v>
      </c>
      <c r="L24" s="291">
        <v>201</v>
      </c>
      <c r="M24" s="291" t="s">
        <v>88</v>
      </c>
      <c r="N24" s="291">
        <v>-313570</v>
      </c>
      <c r="O24" s="291">
        <v>0</v>
      </c>
      <c r="P24" s="291">
        <v>0</v>
      </c>
      <c r="Q24" s="291">
        <v>-161822</v>
      </c>
      <c r="R24" s="291">
        <v>-151748</v>
      </c>
      <c r="S24" s="291">
        <v>51.61</v>
      </c>
      <c r="U24" s="70"/>
      <c r="V24" s="47"/>
      <c r="W24" s="37"/>
    </row>
    <row r="25" spans="1:23" ht="14.25" customHeight="1">
      <c r="A25" s="291">
        <v>4416</v>
      </c>
      <c r="B25" s="291">
        <v>202</v>
      </c>
      <c r="C25" s="291" t="s">
        <v>557</v>
      </c>
      <c r="D25" s="291">
        <v>-188883</v>
      </c>
      <c r="E25" s="291">
        <v>0</v>
      </c>
      <c r="F25" s="291">
        <v>0</v>
      </c>
      <c r="G25" s="291">
        <v>0</v>
      </c>
      <c r="H25" s="291">
        <v>-188883</v>
      </c>
      <c r="I25" s="291">
        <v>0</v>
      </c>
      <c r="K25" s="291">
        <v>4416</v>
      </c>
      <c r="L25" s="291">
        <v>202</v>
      </c>
      <c r="M25" s="291" t="s">
        <v>557</v>
      </c>
      <c r="N25" s="291">
        <v>-188883</v>
      </c>
      <c r="O25" s="291">
        <v>0</v>
      </c>
      <c r="P25" s="291">
        <v>0</v>
      </c>
      <c r="Q25" s="291">
        <v>0</v>
      </c>
      <c r="R25" s="291">
        <v>-188883</v>
      </c>
      <c r="S25" s="291">
        <v>0</v>
      </c>
      <c r="U25" s="70"/>
      <c r="V25" s="47"/>
      <c r="W25" s="37">
        <v>0</v>
      </c>
    </row>
    <row r="26" spans="1:23" ht="14.25" customHeight="1">
      <c r="A26" s="291">
        <v>4550</v>
      </c>
      <c r="B26" s="291">
        <v>203</v>
      </c>
      <c r="C26" s="291" t="s">
        <v>558</v>
      </c>
      <c r="D26" s="291">
        <v>-142534</v>
      </c>
      <c r="E26" s="291">
        <v>0</v>
      </c>
      <c r="F26" s="291">
        <v>0</v>
      </c>
      <c r="G26" s="291">
        <v>0</v>
      </c>
      <c r="H26" s="291">
        <v>-142534</v>
      </c>
      <c r="I26" s="291">
        <v>0</v>
      </c>
      <c r="K26" s="291">
        <v>4550</v>
      </c>
      <c r="L26" s="291">
        <v>203</v>
      </c>
      <c r="M26" s="291" t="s">
        <v>558</v>
      </c>
      <c r="N26" s="291">
        <v>-142534</v>
      </c>
      <c r="O26" s="291">
        <v>0</v>
      </c>
      <c r="P26" s="291">
        <v>0</v>
      </c>
      <c r="Q26" s="291">
        <v>0</v>
      </c>
      <c r="R26" s="291">
        <v>-142534</v>
      </c>
      <c r="S26" s="291">
        <v>0</v>
      </c>
      <c r="U26" s="70"/>
      <c r="V26" s="47"/>
      <c r="W26" s="37">
        <v>0</v>
      </c>
    </row>
    <row r="27" spans="1:23" ht="14.25" customHeight="1">
      <c r="A27" s="291">
        <v>4482</v>
      </c>
      <c r="B27" s="291">
        <v>217</v>
      </c>
      <c r="C27" s="291" t="s">
        <v>93</v>
      </c>
      <c r="D27" s="291">
        <v>0</v>
      </c>
      <c r="E27" s="291">
        <v>0</v>
      </c>
      <c r="F27" s="291">
        <v>0</v>
      </c>
      <c r="G27" s="291">
        <v>-660</v>
      </c>
      <c r="H27" s="291">
        <v>660</v>
      </c>
      <c r="I27" s="291">
        <v>0</v>
      </c>
      <c r="K27" s="291">
        <v>4482</v>
      </c>
      <c r="L27" s="291">
        <v>217</v>
      </c>
      <c r="M27" s="291" t="s">
        <v>93</v>
      </c>
      <c r="N27" s="291">
        <v>0</v>
      </c>
      <c r="O27" s="291">
        <v>0</v>
      </c>
      <c r="P27" s="291">
        <v>0</v>
      </c>
      <c r="Q27" s="291">
        <v>0</v>
      </c>
      <c r="R27" s="291">
        <v>0</v>
      </c>
      <c r="S27" s="291">
        <v>0</v>
      </c>
      <c r="U27" s="70"/>
      <c r="V27" s="47"/>
      <c r="W27" s="37">
        <v>0</v>
      </c>
    </row>
    <row r="28" spans="1:23" ht="14.25" customHeight="1">
      <c r="A28" s="291">
        <v>4537</v>
      </c>
      <c r="B28" s="291">
        <v>250</v>
      </c>
      <c r="C28" s="291" t="s">
        <v>96</v>
      </c>
      <c r="D28" s="291">
        <v>0</v>
      </c>
      <c r="E28" s="291">
        <v>0</v>
      </c>
      <c r="F28" s="291">
        <v>0</v>
      </c>
      <c r="G28" s="291">
        <v>0</v>
      </c>
      <c r="H28" s="291">
        <v>0</v>
      </c>
      <c r="I28" s="291">
        <v>0</v>
      </c>
      <c r="K28" s="291">
        <v>4537</v>
      </c>
      <c r="L28" s="291">
        <v>250</v>
      </c>
      <c r="M28" s="291" t="s">
        <v>96</v>
      </c>
      <c r="N28" s="291">
        <v>0</v>
      </c>
      <c r="O28" s="291">
        <v>0</v>
      </c>
      <c r="P28" s="291">
        <v>0</v>
      </c>
      <c r="Q28" s="291">
        <v>0</v>
      </c>
      <c r="R28" s="291">
        <v>0</v>
      </c>
      <c r="S28" s="291">
        <v>0</v>
      </c>
      <c r="U28" s="70"/>
      <c r="V28" s="47"/>
      <c r="W28" s="37">
        <v>0</v>
      </c>
    </row>
    <row r="29" spans="1:23" ht="14.25" customHeight="1">
      <c r="A29" s="291">
        <v>4544</v>
      </c>
      <c r="B29" s="291">
        <v>251</v>
      </c>
      <c r="C29" s="291" t="s">
        <v>522</v>
      </c>
      <c r="D29" s="291">
        <v>0</v>
      </c>
      <c r="E29" s="291">
        <v>0</v>
      </c>
      <c r="F29" s="291">
        <v>0</v>
      </c>
      <c r="G29" s="291">
        <v>0</v>
      </c>
      <c r="H29" s="291">
        <v>0</v>
      </c>
      <c r="I29" s="291">
        <v>0</v>
      </c>
      <c r="K29" s="291">
        <v>4544</v>
      </c>
      <c r="L29" s="291">
        <v>251</v>
      </c>
      <c r="M29" s="291" t="s">
        <v>522</v>
      </c>
      <c r="N29" s="291">
        <v>0</v>
      </c>
      <c r="O29" s="291">
        <v>0</v>
      </c>
      <c r="P29" s="291">
        <v>0</v>
      </c>
      <c r="Q29" s="291">
        <v>0</v>
      </c>
      <c r="R29" s="291">
        <v>0</v>
      </c>
      <c r="S29" s="291">
        <v>0</v>
      </c>
      <c r="U29" s="70"/>
      <c r="V29" s="47"/>
      <c r="W29" s="37">
        <v>0</v>
      </c>
    </row>
    <row r="30" spans="1:23" ht="14.25" customHeight="1">
      <c r="A30" s="291">
        <v>4529</v>
      </c>
      <c r="B30" s="291">
        <v>254</v>
      </c>
      <c r="C30" s="291" t="s">
        <v>696</v>
      </c>
      <c r="D30" s="291">
        <v>-789570</v>
      </c>
      <c r="E30" s="291">
        <v>0</v>
      </c>
      <c r="F30" s="291">
        <v>0</v>
      </c>
      <c r="G30" s="291">
        <v>-750091</v>
      </c>
      <c r="H30" s="291">
        <v>-39479</v>
      </c>
      <c r="I30" s="291">
        <v>95</v>
      </c>
      <c r="K30" s="291">
        <v>4529</v>
      </c>
      <c r="L30" s="291">
        <v>254</v>
      </c>
      <c r="M30" s="291" t="s">
        <v>696</v>
      </c>
      <c r="N30" s="291">
        <v>-789570</v>
      </c>
      <c r="O30" s="291">
        <v>0</v>
      </c>
      <c r="P30" s="291">
        <v>0</v>
      </c>
      <c r="Q30" s="291">
        <v>-750091</v>
      </c>
      <c r="R30" s="291">
        <v>-39479</v>
      </c>
      <c r="S30" s="291">
        <v>95</v>
      </c>
      <c r="U30" s="70"/>
      <c r="V30" s="47"/>
      <c r="W30" s="37">
        <v>0</v>
      </c>
    </row>
    <row r="31" spans="1:23" ht="14.25" customHeight="1">
      <c r="A31" s="291">
        <v>4565</v>
      </c>
      <c r="B31" s="291">
        <v>256</v>
      </c>
      <c r="C31" s="291" t="s">
        <v>613</v>
      </c>
      <c r="D31" s="291">
        <v>0</v>
      </c>
      <c r="E31" s="291">
        <v>0</v>
      </c>
      <c r="F31" s="291">
        <v>0</v>
      </c>
      <c r="G31" s="291">
        <v>0</v>
      </c>
      <c r="H31" s="291">
        <v>0</v>
      </c>
      <c r="I31" s="291">
        <v>0</v>
      </c>
      <c r="K31" s="291">
        <v>4565</v>
      </c>
      <c r="L31" s="291">
        <v>256</v>
      </c>
      <c r="M31" s="291" t="s">
        <v>613</v>
      </c>
      <c r="N31" s="291">
        <v>0</v>
      </c>
      <c r="O31" s="291">
        <v>0</v>
      </c>
      <c r="P31" s="291">
        <v>0</v>
      </c>
      <c r="Q31" s="291">
        <v>0</v>
      </c>
      <c r="R31" s="291">
        <v>0</v>
      </c>
      <c r="S31" s="291">
        <v>0</v>
      </c>
      <c r="U31" s="70"/>
      <c r="V31" s="47"/>
      <c r="W31" s="37">
        <v>0</v>
      </c>
    </row>
    <row r="32" spans="1:23" ht="14.25" customHeight="1">
      <c r="A32" s="291">
        <v>4551</v>
      </c>
      <c r="B32" s="291">
        <v>299</v>
      </c>
      <c r="C32" s="291" t="s">
        <v>559</v>
      </c>
      <c r="D32" s="291">
        <v>0</v>
      </c>
      <c r="E32" s="291">
        <v>0</v>
      </c>
      <c r="F32" s="291">
        <v>0</v>
      </c>
      <c r="G32" s="291">
        <v>0</v>
      </c>
      <c r="H32" s="291">
        <v>0</v>
      </c>
      <c r="I32" s="291">
        <v>0</v>
      </c>
      <c r="K32" s="291">
        <v>4551</v>
      </c>
      <c r="L32" s="291">
        <v>299</v>
      </c>
      <c r="M32" s="291" t="s">
        <v>559</v>
      </c>
      <c r="N32" s="291">
        <v>0</v>
      </c>
      <c r="O32" s="291">
        <v>0</v>
      </c>
      <c r="P32" s="291">
        <v>0</v>
      </c>
      <c r="Q32" s="291">
        <v>0</v>
      </c>
      <c r="R32" s="291">
        <v>0</v>
      </c>
      <c r="S32" s="291">
        <v>0</v>
      </c>
      <c r="U32" s="70"/>
      <c r="V32" s="47"/>
      <c r="W32" s="37">
        <v>0</v>
      </c>
    </row>
    <row r="33" spans="1:23" ht="14.25" customHeight="1">
      <c r="A33" s="291">
        <v>4425</v>
      </c>
      <c r="B33" s="291">
        <v>300</v>
      </c>
      <c r="C33" s="291" t="s">
        <v>560</v>
      </c>
      <c r="D33" s="291">
        <v>17</v>
      </c>
      <c r="E33" s="291">
        <v>0</v>
      </c>
      <c r="F33" s="291">
        <v>0</v>
      </c>
      <c r="G33" s="291">
        <v>0</v>
      </c>
      <c r="H33" s="291">
        <v>17</v>
      </c>
      <c r="I33" s="291">
        <v>0</v>
      </c>
      <c r="K33" s="291">
        <v>4425</v>
      </c>
      <c r="L33" s="291">
        <v>300</v>
      </c>
      <c r="M33" s="291" t="s">
        <v>560</v>
      </c>
      <c r="N33" s="291">
        <v>17</v>
      </c>
      <c r="O33" s="291">
        <v>0</v>
      </c>
      <c r="P33" s="291">
        <v>0</v>
      </c>
      <c r="Q33" s="291">
        <v>0</v>
      </c>
      <c r="R33" s="291">
        <v>17</v>
      </c>
      <c r="S33" s="291">
        <v>0</v>
      </c>
      <c r="U33" s="70"/>
      <c r="V33" s="47"/>
      <c r="W33" s="37">
        <v>0</v>
      </c>
    </row>
    <row r="34" spans="1:23" ht="14.25" customHeight="1">
      <c r="A34" s="291">
        <v>4382</v>
      </c>
      <c r="B34" s="291">
        <v>301</v>
      </c>
      <c r="C34" s="291" t="s">
        <v>99</v>
      </c>
      <c r="D34" s="291">
        <v>2200</v>
      </c>
      <c r="E34" s="291">
        <v>0</v>
      </c>
      <c r="F34" s="291">
        <v>0</v>
      </c>
      <c r="G34" s="291">
        <v>852.44</v>
      </c>
      <c r="H34" s="291">
        <v>1347.56</v>
      </c>
      <c r="I34" s="291">
        <v>38.75</v>
      </c>
      <c r="K34" s="291">
        <v>4382</v>
      </c>
      <c r="L34" s="291">
        <v>301</v>
      </c>
      <c r="M34" s="291" t="s">
        <v>99</v>
      </c>
      <c r="N34" s="291">
        <v>2200</v>
      </c>
      <c r="O34" s="291">
        <v>142.07</v>
      </c>
      <c r="P34" s="291">
        <v>0</v>
      </c>
      <c r="Q34" s="291">
        <v>251.45</v>
      </c>
      <c r="R34" s="291">
        <v>1806.48</v>
      </c>
      <c r="S34" s="291">
        <v>17.89</v>
      </c>
      <c r="U34" s="58"/>
      <c r="V34" s="47"/>
      <c r="W34" s="37">
        <v>0</v>
      </c>
    </row>
    <row r="35" spans="1:23" ht="14.25" customHeight="1">
      <c r="A35" s="291">
        <v>4582</v>
      </c>
      <c r="B35" s="291">
        <v>302</v>
      </c>
      <c r="C35" s="291" t="s">
        <v>626</v>
      </c>
      <c r="D35" s="291">
        <v>3000</v>
      </c>
      <c r="E35" s="291">
        <v>0</v>
      </c>
      <c r="F35" s="291">
        <v>0</v>
      </c>
      <c r="G35" s="291">
        <v>1121.41</v>
      </c>
      <c r="H35" s="291">
        <v>1878.59</v>
      </c>
      <c r="I35" s="291">
        <v>37.38</v>
      </c>
      <c r="K35" s="291">
        <v>4582</v>
      </c>
      <c r="L35" s="291">
        <v>302</v>
      </c>
      <c r="M35" s="291" t="s">
        <v>626</v>
      </c>
      <c r="N35" s="291">
        <v>3000</v>
      </c>
      <c r="O35" s="291">
        <v>0</v>
      </c>
      <c r="P35" s="291">
        <v>0</v>
      </c>
      <c r="Q35" s="291">
        <v>1121.41</v>
      </c>
      <c r="R35" s="291">
        <v>1878.59</v>
      </c>
      <c r="S35" s="291">
        <v>37.38</v>
      </c>
      <c r="U35" s="70"/>
      <c r="V35" s="47"/>
      <c r="W35" s="37">
        <v>0</v>
      </c>
    </row>
    <row r="36" spans="1:23" ht="14.25" customHeight="1">
      <c r="A36" s="291">
        <v>4368</v>
      </c>
      <c r="B36" s="291">
        <v>303</v>
      </c>
      <c r="C36" s="291" t="s">
        <v>100</v>
      </c>
      <c r="D36" s="291">
        <v>1700</v>
      </c>
      <c r="E36" s="291">
        <v>0</v>
      </c>
      <c r="F36" s="291">
        <v>0</v>
      </c>
      <c r="G36" s="291">
        <v>1036.96</v>
      </c>
      <c r="H36" s="291">
        <v>663.04</v>
      </c>
      <c r="I36" s="291">
        <v>61</v>
      </c>
      <c r="K36" s="291">
        <v>4368</v>
      </c>
      <c r="L36" s="291">
        <v>303</v>
      </c>
      <c r="M36" s="291" t="s">
        <v>100</v>
      </c>
      <c r="N36" s="291">
        <v>1700</v>
      </c>
      <c r="O36" s="291">
        <v>0</v>
      </c>
      <c r="P36" s="291">
        <v>0</v>
      </c>
      <c r="Q36" s="291">
        <v>894.15</v>
      </c>
      <c r="R36" s="291">
        <v>805.85</v>
      </c>
      <c r="S36" s="291">
        <v>52.6</v>
      </c>
      <c r="U36" s="70"/>
      <c r="V36" s="47"/>
      <c r="W36" s="37">
        <v>0</v>
      </c>
    </row>
    <row r="37" spans="1:23" ht="14.25" customHeight="1">
      <c r="A37" s="291">
        <v>4530</v>
      </c>
      <c r="B37" s="291" t="s">
        <v>101</v>
      </c>
      <c r="C37" s="291" t="s">
        <v>102</v>
      </c>
      <c r="D37" s="291">
        <v>1865</v>
      </c>
      <c r="E37" s="291">
        <v>14.47</v>
      </c>
      <c r="F37" s="291">
        <v>0</v>
      </c>
      <c r="G37" s="291">
        <v>289.7</v>
      </c>
      <c r="H37" s="291">
        <v>1560.83</v>
      </c>
      <c r="I37" s="291">
        <v>16.31</v>
      </c>
      <c r="K37" s="291">
        <v>4530</v>
      </c>
      <c r="L37" s="291" t="s">
        <v>101</v>
      </c>
      <c r="M37" s="291" t="s">
        <v>102</v>
      </c>
      <c r="N37" s="291">
        <v>1865</v>
      </c>
      <c r="O37" s="291">
        <v>0</v>
      </c>
      <c r="P37" s="291">
        <v>0</v>
      </c>
      <c r="Q37" s="291">
        <v>850.55</v>
      </c>
      <c r="R37" s="291">
        <v>1014.45</v>
      </c>
      <c r="S37" s="291">
        <v>45.61</v>
      </c>
      <c r="U37" s="70"/>
      <c r="V37" s="47"/>
      <c r="W37" s="37">
        <v>0</v>
      </c>
    </row>
    <row r="38" spans="1:23" ht="14.25" customHeight="1">
      <c r="A38" s="291">
        <v>4369</v>
      </c>
      <c r="B38" s="291">
        <v>304</v>
      </c>
      <c r="C38" s="291" t="s">
        <v>103</v>
      </c>
      <c r="D38" s="291">
        <v>1300</v>
      </c>
      <c r="E38" s="291">
        <v>7.99</v>
      </c>
      <c r="F38" s="291">
        <v>0</v>
      </c>
      <c r="G38" s="291">
        <v>1297.03</v>
      </c>
      <c r="H38" s="291">
        <v>-5.02</v>
      </c>
      <c r="I38" s="291">
        <v>100.39</v>
      </c>
      <c r="K38" s="291">
        <v>4369</v>
      </c>
      <c r="L38" s="291">
        <v>304</v>
      </c>
      <c r="M38" s="291" t="s">
        <v>103</v>
      </c>
      <c r="N38" s="291">
        <v>1300</v>
      </c>
      <c r="O38" s="291">
        <v>73.35</v>
      </c>
      <c r="P38" s="291">
        <v>0</v>
      </c>
      <c r="Q38" s="291">
        <v>918.39</v>
      </c>
      <c r="R38" s="291">
        <v>308.26</v>
      </c>
      <c r="S38" s="291">
        <v>76.29</v>
      </c>
      <c r="U38" s="70"/>
      <c r="V38" s="47"/>
      <c r="W38" s="37">
        <v>0</v>
      </c>
    </row>
    <row r="39" spans="1:23" ht="14.25" customHeight="1">
      <c r="A39" s="291">
        <v>4542</v>
      </c>
      <c r="B39" s="291" t="s">
        <v>104</v>
      </c>
      <c r="C39" s="291" t="s">
        <v>105</v>
      </c>
      <c r="D39" s="291">
        <v>3175</v>
      </c>
      <c r="E39" s="291">
        <v>27.33</v>
      </c>
      <c r="F39" s="291">
        <v>0</v>
      </c>
      <c r="G39" s="291">
        <v>-223.71</v>
      </c>
      <c r="H39" s="291">
        <v>3371.38</v>
      </c>
      <c r="I39" s="291">
        <v>-6.19</v>
      </c>
      <c r="K39" s="291">
        <v>4542</v>
      </c>
      <c r="L39" s="291" t="s">
        <v>104</v>
      </c>
      <c r="M39" s="291" t="s">
        <v>105</v>
      </c>
      <c r="N39" s="291">
        <v>3175</v>
      </c>
      <c r="O39" s="291">
        <v>141.85</v>
      </c>
      <c r="P39" s="291">
        <v>0</v>
      </c>
      <c r="Q39" s="291">
        <v>2127.37</v>
      </c>
      <c r="R39" s="291">
        <v>905.78</v>
      </c>
      <c r="S39" s="291">
        <v>71.47</v>
      </c>
      <c r="U39" s="70"/>
      <c r="V39" s="47"/>
      <c r="W39" s="37">
        <v>0</v>
      </c>
    </row>
    <row r="40" spans="1:23" ht="14.25" customHeight="1">
      <c r="A40" s="291">
        <v>4575</v>
      </c>
      <c r="B40" s="291">
        <v>305</v>
      </c>
      <c r="C40" s="291" t="s">
        <v>627</v>
      </c>
      <c r="D40" s="291">
        <v>250</v>
      </c>
      <c r="E40" s="291">
        <v>0</v>
      </c>
      <c r="F40" s="291">
        <v>0</v>
      </c>
      <c r="G40" s="291">
        <v>0</v>
      </c>
      <c r="H40" s="291">
        <v>250</v>
      </c>
      <c r="I40" s="291">
        <v>0</v>
      </c>
      <c r="K40" s="291">
        <v>4575</v>
      </c>
      <c r="L40" s="291">
        <v>305</v>
      </c>
      <c r="M40" s="291" t="s">
        <v>627</v>
      </c>
      <c r="N40" s="291">
        <v>250</v>
      </c>
      <c r="O40" s="291">
        <v>0</v>
      </c>
      <c r="P40" s="291">
        <v>0</v>
      </c>
      <c r="Q40" s="291">
        <v>0</v>
      </c>
      <c r="R40" s="291">
        <v>250</v>
      </c>
      <c r="S40" s="291">
        <v>0</v>
      </c>
      <c r="U40" s="70"/>
      <c r="V40" s="47"/>
      <c r="W40" s="37">
        <v>0</v>
      </c>
    </row>
    <row r="41" spans="1:23" ht="14.25" customHeight="1">
      <c r="A41" s="291">
        <v>4370</v>
      </c>
      <c r="B41" s="291">
        <v>306</v>
      </c>
      <c r="C41" s="291" t="s">
        <v>106</v>
      </c>
      <c r="D41" s="291">
        <v>5200</v>
      </c>
      <c r="E41" s="291">
        <v>0</v>
      </c>
      <c r="F41" s="291">
        <v>0</v>
      </c>
      <c r="G41" s="291">
        <v>2433</v>
      </c>
      <c r="H41" s="291">
        <v>2767</v>
      </c>
      <c r="I41" s="291">
        <v>46.79</v>
      </c>
      <c r="K41" s="291">
        <v>4370</v>
      </c>
      <c r="L41" s="291">
        <v>306</v>
      </c>
      <c r="M41" s="291" t="s">
        <v>106</v>
      </c>
      <c r="N41" s="291">
        <v>5200</v>
      </c>
      <c r="O41" s="291">
        <v>0</v>
      </c>
      <c r="P41" s="291">
        <v>0</v>
      </c>
      <c r="Q41" s="291">
        <v>1600.88</v>
      </c>
      <c r="R41" s="291">
        <v>3599.12</v>
      </c>
      <c r="S41" s="291">
        <v>30.79</v>
      </c>
      <c r="U41" s="70"/>
      <c r="V41" s="47"/>
      <c r="W41" s="37">
        <v>0</v>
      </c>
    </row>
    <row r="42" spans="1:23" ht="14.25" customHeight="1">
      <c r="A42" s="291">
        <v>4371</v>
      </c>
      <c r="B42" s="291">
        <v>307</v>
      </c>
      <c r="C42" s="291" t="s">
        <v>107</v>
      </c>
      <c r="D42" s="291">
        <v>2125</v>
      </c>
      <c r="E42" s="291">
        <v>510</v>
      </c>
      <c r="F42" s="291">
        <v>0</v>
      </c>
      <c r="G42" s="291">
        <v>537.57</v>
      </c>
      <c r="H42" s="291">
        <v>1077.43</v>
      </c>
      <c r="I42" s="291">
        <v>49.3</v>
      </c>
      <c r="K42" s="291">
        <v>4371</v>
      </c>
      <c r="L42" s="291">
        <v>307</v>
      </c>
      <c r="M42" s="291" t="s">
        <v>107</v>
      </c>
      <c r="N42" s="291">
        <v>2125</v>
      </c>
      <c r="O42" s="291">
        <v>0</v>
      </c>
      <c r="P42" s="291">
        <v>0</v>
      </c>
      <c r="Q42" s="291">
        <v>180.02</v>
      </c>
      <c r="R42" s="291">
        <v>1944.98</v>
      </c>
      <c r="S42" s="291">
        <v>8.47</v>
      </c>
      <c r="U42" s="70"/>
      <c r="V42" s="47"/>
      <c r="W42" s="37">
        <v>0</v>
      </c>
    </row>
    <row r="43" spans="1:23" ht="14.25" customHeight="1">
      <c r="A43" s="291">
        <v>4385</v>
      </c>
      <c r="B43" s="291">
        <v>308</v>
      </c>
      <c r="C43" s="291" t="s">
        <v>628</v>
      </c>
      <c r="D43" s="291">
        <v>1700</v>
      </c>
      <c r="E43" s="291">
        <v>401.01</v>
      </c>
      <c r="F43" s="291">
        <v>0</v>
      </c>
      <c r="G43" s="291">
        <v>211.5</v>
      </c>
      <c r="H43" s="291">
        <v>1087.49</v>
      </c>
      <c r="I43" s="291">
        <v>36.03</v>
      </c>
      <c r="K43" s="291">
        <v>4385</v>
      </c>
      <c r="L43" s="291">
        <v>308</v>
      </c>
      <c r="M43" s="291" t="s">
        <v>628</v>
      </c>
      <c r="N43" s="291">
        <v>1700</v>
      </c>
      <c r="O43" s="291">
        <v>304.12</v>
      </c>
      <c r="P43" s="291">
        <v>0</v>
      </c>
      <c r="Q43" s="291">
        <v>99.64</v>
      </c>
      <c r="R43" s="291">
        <v>1296.24</v>
      </c>
      <c r="S43" s="291">
        <v>23.75</v>
      </c>
      <c r="U43" s="70"/>
      <c r="V43" s="47"/>
      <c r="W43" s="37">
        <v>0</v>
      </c>
    </row>
    <row r="44" spans="1:23" ht="14.25" customHeight="1">
      <c r="A44" s="291">
        <v>4573</v>
      </c>
      <c r="B44" s="291">
        <v>309</v>
      </c>
      <c r="C44" s="291" t="s">
        <v>629</v>
      </c>
      <c r="D44" s="291">
        <v>1700</v>
      </c>
      <c r="E44" s="291">
        <v>508.83</v>
      </c>
      <c r="F44" s="291">
        <v>0</v>
      </c>
      <c r="G44" s="291">
        <v>1179.7</v>
      </c>
      <c r="H44" s="291">
        <v>11.47</v>
      </c>
      <c r="I44" s="291">
        <v>99.33</v>
      </c>
      <c r="K44" s="291">
        <v>4573</v>
      </c>
      <c r="L44" s="291">
        <v>309</v>
      </c>
      <c r="M44" s="291" t="s">
        <v>629</v>
      </c>
      <c r="N44" s="291">
        <v>1700</v>
      </c>
      <c r="O44" s="291">
        <v>579.19</v>
      </c>
      <c r="P44" s="291">
        <v>0</v>
      </c>
      <c r="Q44" s="291">
        <v>872.48</v>
      </c>
      <c r="R44" s="291">
        <v>248.33</v>
      </c>
      <c r="S44" s="291">
        <v>85.39</v>
      </c>
      <c r="U44" s="70"/>
      <c r="V44" s="47"/>
      <c r="W44" s="37">
        <v>0</v>
      </c>
    </row>
    <row r="45" spans="1:23" ht="14.25" customHeight="1">
      <c r="A45" s="291">
        <v>4372</v>
      </c>
      <c r="B45" s="291">
        <v>312</v>
      </c>
      <c r="C45" s="291" t="s">
        <v>561</v>
      </c>
      <c r="D45" s="291">
        <v>1275</v>
      </c>
      <c r="E45" s="291">
        <v>0</v>
      </c>
      <c r="F45" s="291">
        <v>0</v>
      </c>
      <c r="G45" s="291">
        <v>464.23</v>
      </c>
      <c r="H45" s="291">
        <v>810.77</v>
      </c>
      <c r="I45" s="291">
        <v>36.41</v>
      </c>
      <c r="K45" s="291">
        <v>4372</v>
      </c>
      <c r="L45" s="291">
        <v>312</v>
      </c>
      <c r="M45" s="291" t="s">
        <v>561</v>
      </c>
      <c r="N45" s="291">
        <v>1275</v>
      </c>
      <c r="O45" s="291">
        <v>0</v>
      </c>
      <c r="P45" s="291">
        <v>0</v>
      </c>
      <c r="Q45" s="291">
        <v>255.17</v>
      </c>
      <c r="R45" s="291">
        <v>1019.83</v>
      </c>
      <c r="S45" s="291">
        <v>20.01</v>
      </c>
      <c r="U45" s="70"/>
      <c r="V45" s="47"/>
      <c r="W45" s="37">
        <v>0</v>
      </c>
    </row>
    <row r="46" spans="1:23" ht="14.25" customHeight="1">
      <c r="A46" s="291">
        <v>4373</v>
      </c>
      <c r="B46" s="291">
        <v>313</v>
      </c>
      <c r="C46" s="291" t="s">
        <v>112</v>
      </c>
      <c r="D46" s="291">
        <v>9400</v>
      </c>
      <c r="E46" s="291">
        <v>1707.97</v>
      </c>
      <c r="F46" s="291">
        <v>0</v>
      </c>
      <c r="G46" s="291">
        <v>4944.91</v>
      </c>
      <c r="H46" s="291">
        <v>2747.12</v>
      </c>
      <c r="I46" s="291">
        <v>70.78</v>
      </c>
      <c r="K46" s="291">
        <v>4373</v>
      </c>
      <c r="L46" s="291">
        <v>313</v>
      </c>
      <c r="M46" s="291" t="s">
        <v>112</v>
      </c>
      <c r="N46" s="291">
        <v>9400</v>
      </c>
      <c r="O46" s="291">
        <v>1669.73</v>
      </c>
      <c r="P46" s="291">
        <v>0</v>
      </c>
      <c r="Q46" s="291">
        <v>4087.88</v>
      </c>
      <c r="R46" s="291">
        <v>3642.39</v>
      </c>
      <c r="S46" s="291">
        <v>61.25</v>
      </c>
      <c r="U46" s="70"/>
      <c r="V46" s="47"/>
      <c r="W46" s="37">
        <v>0</v>
      </c>
    </row>
    <row r="47" spans="1:23" ht="14.25" customHeight="1">
      <c r="A47" s="291">
        <v>4384</v>
      </c>
      <c r="B47" s="291">
        <v>314</v>
      </c>
      <c r="C47" s="291" t="s">
        <v>630</v>
      </c>
      <c r="D47" s="291">
        <v>1800</v>
      </c>
      <c r="E47" s="291">
        <v>49.98</v>
      </c>
      <c r="F47" s="291">
        <v>0</v>
      </c>
      <c r="G47" s="291">
        <v>757.48</v>
      </c>
      <c r="H47" s="291">
        <v>992.54</v>
      </c>
      <c r="I47" s="291">
        <v>44.86</v>
      </c>
      <c r="K47" s="291">
        <v>4384</v>
      </c>
      <c r="L47" s="291">
        <v>314</v>
      </c>
      <c r="M47" s="291" t="s">
        <v>630</v>
      </c>
      <c r="N47" s="291">
        <v>1800</v>
      </c>
      <c r="O47" s="291">
        <v>149.98</v>
      </c>
      <c r="P47" s="291">
        <v>0</v>
      </c>
      <c r="Q47" s="291">
        <v>538.07</v>
      </c>
      <c r="R47" s="291">
        <v>1111.95</v>
      </c>
      <c r="S47" s="291">
        <v>38.23</v>
      </c>
      <c r="U47" s="70"/>
      <c r="V47" s="47"/>
      <c r="W47" s="37">
        <v>0</v>
      </c>
    </row>
    <row r="48" spans="1:23" ht="14.25" customHeight="1">
      <c r="A48" s="291">
        <v>4374</v>
      </c>
      <c r="B48" s="291">
        <v>316</v>
      </c>
      <c r="C48" s="291" t="s">
        <v>631</v>
      </c>
      <c r="D48" s="291">
        <v>2200</v>
      </c>
      <c r="E48" s="291">
        <v>0</v>
      </c>
      <c r="F48" s="291">
        <v>0</v>
      </c>
      <c r="G48" s="291">
        <v>597.33</v>
      </c>
      <c r="H48" s="291">
        <v>1602.67</v>
      </c>
      <c r="I48" s="291">
        <v>27.15</v>
      </c>
      <c r="K48" s="291">
        <v>4374</v>
      </c>
      <c r="L48" s="291">
        <v>316</v>
      </c>
      <c r="M48" s="291" t="s">
        <v>631</v>
      </c>
      <c r="N48" s="291">
        <v>2200</v>
      </c>
      <c r="O48" s="291">
        <v>0</v>
      </c>
      <c r="P48" s="291">
        <v>0</v>
      </c>
      <c r="Q48" s="291">
        <v>362.6</v>
      </c>
      <c r="R48" s="291">
        <v>1837.4</v>
      </c>
      <c r="S48" s="291">
        <v>16.48</v>
      </c>
      <c r="U48" s="70"/>
      <c r="V48" s="47"/>
      <c r="W48" s="37">
        <v>0</v>
      </c>
    </row>
    <row r="49" spans="1:23" ht="14.25" customHeight="1">
      <c r="A49" s="291">
        <v>4375</v>
      </c>
      <c r="B49" s="291">
        <v>317</v>
      </c>
      <c r="C49" s="291" t="s">
        <v>118</v>
      </c>
      <c r="D49" s="291">
        <v>1000</v>
      </c>
      <c r="E49" s="291">
        <v>0</v>
      </c>
      <c r="F49" s="291">
        <v>0</v>
      </c>
      <c r="G49" s="291">
        <v>643.51</v>
      </c>
      <c r="H49" s="291">
        <v>356.49</v>
      </c>
      <c r="I49" s="291">
        <v>64.35</v>
      </c>
      <c r="K49" s="291">
        <v>4375</v>
      </c>
      <c r="L49" s="291">
        <v>317</v>
      </c>
      <c r="M49" s="291" t="s">
        <v>118</v>
      </c>
      <c r="N49" s="291">
        <v>1000</v>
      </c>
      <c r="O49" s="291">
        <v>0</v>
      </c>
      <c r="P49" s="291">
        <v>0</v>
      </c>
      <c r="Q49" s="291">
        <v>380.13</v>
      </c>
      <c r="R49" s="291">
        <v>619.87</v>
      </c>
      <c r="S49" s="291">
        <v>38.01</v>
      </c>
      <c r="U49" s="70"/>
      <c r="V49" s="47"/>
      <c r="W49" s="37"/>
    </row>
    <row r="50" spans="1:23" ht="14.25" customHeight="1">
      <c r="A50" s="291">
        <v>4376</v>
      </c>
      <c r="B50" s="291">
        <v>318</v>
      </c>
      <c r="C50" s="291" t="s">
        <v>697</v>
      </c>
      <c r="D50" s="291">
        <v>448</v>
      </c>
      <c r="E50" s="291">
        <v>0</v>
      </c>
      <c r="F50" s="291">
        <v>0</v>
      </c>
      <c r="G50" s="291">
        <v>-242.2</v>
      </c>
      <c r="H50" s="291">
        <v>690.2</v>
      </c>
      <c r="I50" s="291">
        <v>-54.06</v>
      </c>
      <c r="K50" s="291">
        <v>4376</v>
      </c>
      <c r="L50" s="291">
        <v>318</v>
      </c>
      <c r="M50" s="291" t="s">
        <v>697</v>
      </c>
      <c r="N50" s="291">
        <v>448</v>
      </c>
      <c r="O50" s="291">
        <v>0</v>
      </c>
      <c r="P50" s="291">
        <v>0</v>
      </c>
      <c r="Q50" s="291">
        <v>202.7</v>
      </c>
      <c r="R50" s="291">
        <v>245.3</v>
      </c>
      <c r="S50" s="291">
        <v>45.25</v>
      </c>
      <c r="U50" s="70"/>
      <c r="V50" s="47"/>
      <c r="W50" s="37">
        <v>0</v>
      </c>
    </row>
    <row r="51" spans="1:23" ht="14.25" customHeight="1">
      <c r="A51" s="291">
        <v>4377</v>
      </c>
      <c r="B51" s="291">
        <v>319</v>
      </c>
      <c r="C51" s="291" t="s">
        <v>120</v>
      </c>
      <c r="D51" s="291">
        <v>4900</v>
      </c>
      <c r="E51" s="291">
        <v>0</v>
      </c>
      <c r="F51" s="291">
        <v>0</v>
      </c>
      <c r="G51" s="291">
        <v>896.9</v>
      </c>
      <c r="H51" s="291">
        <v>4003.1</v>
      </c>
      <c r="I51" s="291">
        <v>18.3</v>
      </c>
      <c r="K51" s="291">
        <v>4377</v>
      </c>
      <c r="L51" s="291">
        <v>319</v>
      </c>
      <c r="M51" s="291" t="s">
        <v>120</v>
      </c>
      <c r="N51" s="291">
        <v>4900</v>
      </c>
      <c r="O51" s="291">
        <v>0</v>
      </c>
      <c r="P51" s="291">
        <v>0</v>
      </c>
      <c r="Q51" s="291">
        <v>159.25</v>
      </c>
      <c r="R51" s="291">
        <v>4740.75</v>
      </c>
      <c r="S51" s="291">
        <v>3.25</v>
      </c>
      <c r="U51" s="70"/>
      <c r="V51" s="47"/>
      <c r="W51" s="37">
        <v>0</v>
      </c>
    </row>
    <row r="52" spans="1:23" ht="14.25" customHeight="1">
      <c r="A52" s="291">
        <v>4378</v>
      </c>
      <c r="B52" s="291">
        <v>320</v>
      </c>
      <c r="C52" s="291" t="s">
        <v>121</v>
      </c>
      <c r="D52" s="291">
        <v>5598</v>
      </c>
      <c r="E52" s="291">
        <v>784.7</v>
      </c>
      <c r="F52" s="291">
        <v>0</v>
      </c>
      <c r="G52" s="291">
        <v>1136.6</v>
      </c>
      <c r="H52" s="291">
        <v>3676.7</v>
      </c>
      <c r="I52" s="291">
        <v>34.32</v>
      </c>
      <c r="K52" s="291">
        <v>4378</v>
      </c>
      <c r="L52" s="291">
        <v>320</v>
      </c>
      <c r="M52" s="291" t="s">
        <v>121</v>
      </c>
      <c r="N52" s="291">
        <v>5598</v>
      </c>
      <c r="O52" s="291">
        <v>40</v>
      </c>
      <c r="P52" s="291">
        <v>0</v>
      </c>
      <c r="Q52" s="291">
        <v>1016.23</v>
      </c>
      <c r="R52" s="291">
        <v>4541.77</v>
      </c>
      <c r="S52" s="291">
        <v>18.87</v>
      </c>
      <c r="U52" s="70"/>
      <c r="V52" s="47"/>
      <c r="W52" s="37">
        <v>0</v>
      </c>
    </row>
    <row r="53" spans="1:23" ht="14.25" customHeight="1">
      <c r="A53" s="291">
        <v>4379</v>
      </c>
      <c r="B53" s="291">
        <v>322</v>
      </c>
      <c r="C53" s="291" t="s">
        <v>632</v>
      </c>
      <c r="D53" s="291">
        <v>1700</v>
      </c>
      <c r="E53" s="291">
        <v>0</v>
      </c>
      <c r="F53" s="291">
        <v>0</v>
      </c>
      <c r="G53" s="291">
        <v>494.59</v>
      </c>
      <c r="H53" s="291">
        <v>1205.41</v>
      </c>
      <c r="I53" s="291">
        <v>29.09</v>
      </c>
      <c r="K53" s="291">
        <v>4379</v>
      </c>
      <c r="L53" s="291">
        <v>322</v>
      </c>
      <c r="M53" s="291" t="s">
        <v>632</v>
      </c>
      <c r="N53" s="291">
        <v>1700</v>
      </c>
      <c r="O53" s="291">
        <v>0</v>
      </c>
      <c r="P53" s="291">
        <v>0</v>
      </c>
      <c r="Q53" s="291">
        <v>312.78</v>
      </c>
      <c r="R53" s="291">
        <v>1387.22</v>
      </c>
      <c r="S53" s="291">
        <v>18.4</v>
      </c>
      <c r="U53" s="70"/>
      <c r="V53" s="47"/>
      <c r="W53" s="37">
        <v>0</v>
      </c>
    </row>
    <row r="54" spans="1:23" ht="14.25" customHeight="1">
      <c r="A54" s="291">
        <v>4580</v>
      </c>
      <c r="B54" s="291">
        <v>323</v>
      </c>
      <c r="C54" s="291" t="s">
        <v>633</v>
      </c>
      <c r="D54" s="291">
        <v>500</v>
      </c>
      <c r="E54" s="291">
        <v>0</v>
      </c>
      <c r="F54" s="291">
        <v>0</v>
      </c>
      <c r="G54" s="291">
        <v>2.84</v>
      </c>
      <c r="H54" s="291">
        <v>497.16</v>
      </c>
      <c r="I54" s="291">
        <v>0.57</v>
      </c>
      <c r="K54" s="291">
        <v>4580</v>
      </c>
      <c r="L54" s="291">
        <v>323</v>
      </c>
      <c r="M54" s="291" t="s">
        <v>633</v>
      </c>
      <c r="N54" s="291">
        <v>500</v>
      </c>
      <c r="O54" s="291">
        <v>0</v>
      </c>
      <c r="P54" s="291">
        <v>0</v>
      </c>
      <c r="Q54" s="291">
        <v>0</v>
      </c>
      <c r="R54" s="291">
        <v>500</v>
      </c>
      <c r="S54" s="291">
        <v>0</v>
      </c>
      <c r="U54" s="70"/>
      <c r="V54" s="47"/>
      <c r="W54" s="37">
        <v>0</v>
      </c>
    </row>
    <row r="55" spans="1:23" ht="14.25" customHeight="1">
      <c r="A55" s="291">
        <v>4447</v>
      </c>
      <c r="B55" s="291">
        <v>324</v>
      </c>
      <c r="C55" s="291" t="s">
        <v>634</v>
      </c>
      <c r="D55" s="291">
        <v>250</v>
      </c>
      <c r="E55" s="291">
        <v>0</v>
      </c>
      <c r="F55" s="291">
        <v>0</v>
      </c>
      <c r="G55" s="291">
        <v>190</v>
      </c>
      <c r="H55" s="291">
        <v>60</v>
      </c>
      <c r="I55" s="291">
        <v>76</v>
      </c>
      <c r="K55" s="291">
        <v>4447</v>
      </c>
      <c r="L55" s="291">
        <v>324</v>
      </c>
      <c r="M55" s="291" t="s">
        <v>634</v>
      </c>
      <c r="N55" s="291">
        <v>250</v>
      </c>
      <c r="O55" s="291">
        <v>0</v>
      </c>
      <c r="P55" s="291">
        <v>0</v>
      </c>
      <c r="Q55" s="291">
        <v>190</v>
      </c>
      <c r="R55" s="291">
        <v>60</v>
      </c>
      <c r="S55" s="291">
        <v>76</v>
      </c>
      <c r="U55" s="70"/>
      <c r="V55" s="47"/>
      <c r="W55" s="37">
        <v>0</v>
      </c>
    </row>
    <row r="56" spans="1:23" ht="14.25" customHeight="1">
      <c r="A56" s="291">
        <v>4380</v>
      </c>
      <c r="B56" s="291">
        <v>325</v>
      </c>
      <c r="C56" s="291" t="s">
        <v>124</v>
      </c>
      <c r="D56" s="291">
        <v>500</v>
      </c>
      <c r="E56" s="291">
        <v>0</v>
      </c>
      <c r="F56" s="291">
        <v>0</v>
      </c>
      <c r="G56" s="291">
        <v>111.14</v>
      </c>
      <c r="H56" s="291">
        <v>388.86</v>
      </c>
      <c r="I56" s="291">
        <v>22.23</v>
      </c>
      <c r="K56" s="291">
        <v>4380</v>
      </c>
      <c r="L56" s="291">
        <v>325</v>
      </c>
      <c r="M56" s="291" t="s">
        <v>124</v>
      </c>
      <c r="N56" s="291">
        <v>500</v>
      </c>
      <c r="O56" s="291">
        <v>0</v>
      </c>
      <c r="P56" s="291">
        <v>0</v>
      </c>
      <c r="Q56" s="291">
        <v>65.15</v>
      </c>
      <c r="R56" s="291">
        <v>434.85</v>
      </c>
      <c r="S56" s="291">
        <v>13.03</v>
      </c>
      <c r="U56" s="70"/>
      <c r="V56" s="47"/>
      <c r="W56" s="37">
        <v>0</v>
      </c>
    </row>
    <row r="57" spans="1:23" ht="14.25" customHeight="1">
      <c r="A57" s="291">
        <v>4381</v>
      </c>
      <c r="B57" s="291">
        <v>326</v>
      </c>
      <c r="C57" s="291" t="s">
        <v>635</v>
      </c>
      <c r="D57" s="291">
        <v>900</v>
      </c>
      <c r="E57" s="291">
        <v>0</v>
      </c>
      <c r="F57" s="291">
        <v>0</v>
      </c>
      <c r="G57" s="291">
        <v>158.28</v>
      </c>
      <c r="H57" s="291">
        <v>741.72</v>
      </c>
      <c r="I57" s="291">
        <v>17.59</v>
      </c>
      <c r="K57" s="291">
        <v>4381</v>
      </c>
      <c r="L57" s="291">
        <v>326</v>
      </c>
      <c r="M57" s="291" t="s">
        <v>635</v>
      </c>
      <c r="N57" s="291">
        <v>900</v>
      </c>
      <c r="O57" s="291">
        <v>0</v>
      </c>
      <c r="P57" s="291">
        <v>0</v>
      </c>
      <c r="Q57" s="291">
        <v>0</v>
      </c>
      <c r="R57" s="291">
        <v>900</v>
      </c>
      <c r="S57" s="291">
        <v>0</v>
      </c>
      <c r="U57" s="70"/>
      <c r="V57" s="47"/>
      <c r="W57" s="37">
        <v>0</v>
      </c>
    </row>
    <row r="58" spans="1:23" ht="14.25" customHeight="1">
      <c r="A58" s="291">
        <v>4390</v>
      </c>
      <c r="B58" s="291">
        <v>330</v>
      </c>
      <c r="C58" s="291" t="s">
        <v>126</v>
      </c>
      <c r="D58" s="291">
        <v>500</v>
      </c>
      <c r="E58" s="291">
        <v>280</v>
      </c>
      <c r="F58" s="291">
        <v>0</v>
      </c>
      <c r="G58" s="291">
        <v>-749.5</v>
      </c>
      <c r="H58" s="291">
        <v>969.5</v>
      </c>
      <c r="I58" s="291">
        <v>-93.9</v>
      </c>
      <c r="K58" s="291">
        <v>4390</v>
      </c>
      <c r="L58" s="291">
        <v>330</v>
      </c>
      <c r="M58" s="291" t="s">
        <v>126</v>
      </c>
      <c r="N58" s="291">
        <v>500</v>
      </c>
      <c r="O58" s="291">
        <v>313</v>
      </c>
      <c r="P58" s="291">
        <v>0</v>
      </c>
      <c r="Q58" s="291">
        <v>-879.5</v>
      </c>
      <c r="R58" s="291">
        <v>1066.5</v>
      </c>
      <c r="S58" s="291">
        <v>-113.3</v>
      </c>
      <c r="U58" s="70"/>
      <c r="V58" s="47"/>
      <c r="W58" s="37">
        <v>0</v>
      </c>
    </row>
    <row r="59" spans="1:23" ht="14.25" customHeight="1">
      <c r="A59" s="291">
        <v>4435</v>
      </c>
      <c r="B59" s="291">
        <v>331</v>
      </c>
      <c r="C59" s="291" t="s">
        <v>636</v>
      </c>
      <c r="D59" s="291">
        <v>850</v>
      </c>
      <c r="E59" s="291">
        <v>403.76</v>
      </c>
      <c r="F59" s="291">
        <v>0</v>
      </c>
      <c r="G59" s="291">
        <v>27.98</v>
      </c>
      <c r="H59" s="291">
        <v>418.26</v>
      </c>
      <c r="I59" s="291">
        <v>50.79</v>
      </c>
      <c r="K59" s="291">
        <v>4435</v>
      </c>
      <c r="L59" s="291">
        <v>331</v>
      </c>
      <c r="M59" s="291" t="s">
        <v>636</v>
      </c>
      <c r="N59" s="291">
        <v>850</v>
      </c>
      <c r="O59" s="291">
        <v>271</v>
      </c>
      <c r="P59" s="291">
        <v>0</v>
      </c>
      <c r="Q59" s="291">
        <v>116.27</v>
      </c>
      <c r="R59" s="291">
        <v>462.73</v>
      </c>
      <c r="S59" s="291">
        <v>45.56</v>
      </c>
      <c r="U59" s="70"/>
      <c r="V59" s="47"/>
      <c r="W59" s="37">
        <v>0</v>
      </c>
    </row>
    <row r="60" spans="1:23" ht="14.25" customHeight="1">
      <c r="A60" s="291">
        <v>4411</v>
      </c>
      <c r="B60" s="291">
        <v>332</v>
      </c>
      <c r="C60" s="291" t="s">
        <v>128</v>
      </c>
      <c r="D60" s="291">
        <v>14000</v>
      </c>
      <c r="E60" s="291">
        <v>679</v>
      </c>
      <c r="F60" s="291">
        <v>0</v>
      </c>
      <c r="G60" s="291">
        <v>6760.47</v>
      </c>
      <c r="H60" s="291">
        <v>6560.53</v>
      </c>
      <c r="I60" s="291">
        <v>53.14</v>
      </c>
      <c r="K60" s="291">
        <v>4411</v>
      </c>
      <c r="L60" s="291">
        <v>332</v>
      </c>
      <c r="M60" s="291" t="s">
        <v>128</v>
      </c>
      <c r="N60" s="291">
        <v>14000</v>
      </c>
      <c r="O60" s="291">
        <v>650</v>
      </c>
      <c r="P60" s="291">
        <v>0</v>
      </c>
      <c r="Q60" s="291">
        <v>4593.54</v>
      </c>
      <c r="R60" s="291">
        <v>8756.46</v>
      </c>
      <c r="S60" s="291">
        <v>37.45</v>
      </c>
      <c r="U60" s="70"/>
      <c r="V60" s="47"/>
      <c r="W60" s="37">
        <v>0</v>
      </c>
    </row>
    <row r="61" spans="1:23" ht="14.25" customHeight="1">
      <c r="A61" s="291">
        <v>4383</v>
      </c>
      <c r="B61" s="291">
        <v>333</v>
      </c>
      <c r="C61" s="291" t="s">
        <v>131</v>
      </c>
      <c r="D61" s="291">
        <v>700</v>
      </c>
      <c r="E61" s="291">
        <v>0</v>
      </c>
      <c r="F61" s="291">
        <v>0</v>
      </c>
      <c r="G61" s="291">
        <v>386.35</v>
      </c>
      <c r="H61" s="291">
        <v>313.65</v>
      </c>
      <c r="I61" s="291">
        <v>55.19</v>
      </c>
      <c r="K61" s="291">
        <v>4383</v>
      </c>
      <c r="L61" s="291">
        <v>333</v>
      </c>
      <c r="M61" s="291" t="s">
        <v>131</v>
      </c>
      <c r="N61" s="291">
        <v>700</v>
      </c>
      <c r="O61" s="291">
        <v>244</v>
      </c>
      <c r="P61" s="291">
        <v>0</v>
      </c>
      <c r="Q61" s="291">
        <v>307.06</v>
      </c>
      <c r="R61" s="291">
        <v>148.94</v>
      </c>
      <c r="S61" s="291">
        <v>78.72</v>
      </c>
      <c r="U61" s="70"/>
      <c r="V61" s="47"/>
      <c r="W61" s="37">
        <v>0</v>
      </c>
    </row>
    <row r="62" spans="1:23" ht="14.25" customHeight="1">
      <c r="A62" s="291">
        <v>4581</v>
      </c>
      <c r="B62" s="291">
        <v>335</v>
      </c>
      <c r="C62" s="291" t="s">
        <v>637</v>
      </c>
      <c r="D62" s="291">
        <v>1200</v>
      </c>
      <c r="E62" s="291">
        <v>0</v>
      </c>
      <c r="F62" s="291">
        <v>0</v>
      </c>
      <c r="G62" s="291">
        <v>151.53</v>
      </c>
      <c r="H62" s="291">
        <v>1048.47</v>
      </c>
      <c r="I62" s="291">
        <v>12.63</v>
      </c>
      <c r="K62" s="291">
        <v>4581</v>
      </c>
      <c r="L62" s="291">
        <v>335</v>
      </c>
      <c r="M62" s="291" t="s">
        <v>637</v>
      </c>
      <c r="N62" s="291">
        <v>1200</v>
      </c>
      <c r="O62" s="291">
        <v>0</v>
      </c>
      <c r="P62" s="291">
        <v>0</v>
      </c>
      <c r="Q62" s="291">
        <v>108.33</v>
      </c>
      <c r="R62" s="291">
        <v>1091.67</v>
      </c>
      <c r="S62" s="291">
        <v>9.03</v>
      </c>
      <c r="U62" s="70"/>
      <c r="V62" s="47"/>
      <c r="W62" s="37">
        <v>0</v>
      </c>
    </row>
    <row r="63" spans="1:23" ht="14.25" customHeight="1">
      <c r="A63" s="291">
        <v>4413</v>
      </c>
      <c r="B63" s="291">
        <v>336</v>
      </c>
      <c r="C63" s="291" t="s">
        <v>562</v>
      </c>
      <c r="D63" s="291">
        <v>650</v>
      </c>
      <c r="E63" s="291">
        <v>0</v>
      </c>
      <c r="F63" s="291">
        <v>0</v>
      </c>
      <c r="G63" s="291">
        <v>180.99</v>
      </c>
      <c r="H63" s="291">
        <v>469.01</v>
      </c>
      <c r="I63" s="291">
        <v>27.84</v>
      </c>
      <c r="K63" s="291">
        <v>4413</v>
      </c>
      <c r="L63" s="291">
        <v>336</v>
      </c>
      <c r="M63" s="291" t="s">
        <v>562</v>
      </c>
      <c r="N63" s="291">
        <v>650</v>
      </c>
      <c r="O63" s="291">
        <v>0</v>
      </c>
      <c r="P63" s="291">
        <v>0</v>
      </c>
      <c r="Q63" s="291">
        <v>92.74</v>
      </c>
      <c r="R63" s="291">
        <v>557.26</v>
      </c>
      <c r="S63" s="291">
        <v>14.27</v>
      </c>
      <c r="U63" s="70"/>
      <c r="V63" s="47"/>
      <c r="W63" s="37">
        <v>0</v>
      </c>
    </row>
    <row r="64" spans="1:23" ht="14.25" customHeight="1">
      <c r="A64" s="291">
        <v>4414</v>
      </c>
      <c r="B64" s="291">
        <v>337</v>
      </c>
      <c r="C64" s="291" t="s">
        <v>133</v>
      </c>
      <c r="D64" s="291">
        <v>1233</v>
      </c>
      <c r="E64" s="291">
        <v>389.26</v>
      </c>
      <c r="F64" s="291">
        <v>0</v>
      </c>
      <c r="G64" s="291">
        <v>521.47</v>
      </c>
      <c r="H64" s="291">
        <v>322.27</v>
      </c>
      <c r="I64" s="291">
        <v>73.86</v>
      </c>
      <c r="K64" s="291">
        <v>4414</v>
      </c>
      <c r="L64" s="291">
        <v>337</v>
      </c>
      <c r="M64" s="291" t="s">
        <v>133</v>
      </c>
      <c r="N64" s="291">
        <v>1233</v>
      </c>
      <c r="O64" s="291">
        <v>403.12</v>
      </c>
      <c r="P64" s="291">
        <v>0</v>
      </c>
      <c r="Q64" s="291">
        <v>468.97</v>
      </c>
      <c r="R64" s="291">
        <v>360.91</v>
      </c>
      <c r="S64" s="291">
        <v>70.73</v>
      </c>
      <c r="U64" s="70"/>
      <c r="V64" s="47"/>
      <c r="W64" s="37">
        <v>0</v>
      </c>
    </row>
    <row r="65" spans="1:23" ht="14.25" customHeight="1">
      <c r="A65" s="291">
        <v>4418</v>
      </c>
      <c r="B65" s="291">
        <v>338</v>
      </c>
      <c r="C65" s="291" t="s">
        <v>134</v>
      </c>
      <c r="D65" s="291">
        <v>2000</v>
      </c>
      <c r="E65" s="291">
        <v>0</v>
      </c>
      <c r="F65" s="291">
        <v>0</v>
      </c>
      <c r="G65" s="291">
        <v>-25</v>
      </c>
      <c r="H65" s="291">
        <v>2025</v>
      </c>
      <c r="I65" s="291">
        <v>-1.25</v>
      </c>
      <c r="K65" s="291">
        <v>4418</v>
      </c>
      <c r="L65" s="291">
        <v>338</v>
      </c>
      <c r="M65" s="291" t="s">
        <v>134</v>
      </c>
      <c r="N65" s="291">
        <v>2000</v>
      </c>
      <c r="O65" s="291">
        <v>0</v>
      </c>
      <c r="P65" s="291">
        <v>0</v>
      </c>
      <c r="Q65" s="291">
        <v>-12.5</v>
      </c>
      <c r="R65" s="291">
        <v>2012.5</v>
      </c>
      <c r="S65" s="291">
        <v>-0.63</v>
      </c>
      <c r="U65" s="70"/>
      <c r="V65" s="47"/>
      <c r="W65" s="37">
        <v>0</v>
      </c>
    </row>
    <row r="66" spans="1:23" ht="14.25" customHeight="1">
      <c r="A66" s="291">
        <v>4386</v>
      </c>
      <c r="B66" s="291">
        <v>340</v>
      </c>
      <c r="C66" s="291" t="s">
        <v>638</v>
      </c>
      <c r="D66" s="291">
        <v>4194</v>
      </c>
      <c r="E66" s="291">
        <v>0</v>
      </c>
      <c r="F66" s="291">
        <v>0</v>
      </c>
      <c r="G66" s="291">
        <v>1216.86</v>
      </c>
      <c r="H66" s="291">
        <v>2977.14</v>
      </c>
      <c r="I66" s="291">
        <v>29.01</v>
      </c>
      <c r="K66" s="291">
        <v>4386</v>
      </c>
      <c r="L66" s="291">
        <v>340</v>
      </c>
      <c r="M66" s="291" t="s">
        <v>638</v>
      </c>
      <c r="N66" s="291">
        <v>4194</v>
      </c>
      <c r="O66" s="291">
        <v>0</v>
      </c>
      <c r="P66" s="291">
        <v>0</v>
      </c>
      <c r="Q66" s="291">
        <v>821.41</v>
      </c>
      <c r="R66" s="291">
        <v>3372.59</v>
      </c>
      <c r="S66" s="291">
        <v>19.59</v>
      </c>
      <c r="U66" s="70"/>
      <c r="V66" s="47"/>
      <c r="W66" s="37">
        <v>0</v>
      </c>
    </row>
    <row r="67" spans="1:23" ht="14.25" customHeight="1">
      <c r="A67" s="291">
        <v>4574</v>
      </c>
      <c r="B67" s="291">
        <v>341</v>
      </c>
      <c r="C67" s="291" t="s">
        <v>639</v>
      </c>
      <c r="D67" s="291">
        <v>3400</v>
      </c>
      <c r="E67" s="291">
        <v>55</v>
      </c>
      <c r="F67" s="291">
        <v>0</v>
      </c>
      <c r="G67" s="291">
        <v>985.52</v>
      </c>
      <c r="H67" s="291">
        <v>2359.48</v>
      </c>
      <c r="I67" s="291">
        <v>30.6</v>
      </c>
      <c r="K67" s="291">
        <v>4574</v>
      </c>
      <c r="L67" s="291">
        <v>341</v>
      </c>
      <c r="M67" s="291" t="s">
        <v>639</v>
      </c>
      <c r="N67" s="291">
        <v>3400</v>
      </c>
      <c r="O67" s="291">
        <v>9.48</v>
      </c>
      <c r="P67" s="291">
        <v>0</v>
      </c>
      <c r="Q67" s="291">
        <v>780.1</v>
      </c>
      <c r="R67" s="291">
        <v>2610.42</v>
      </c>
      <c r="S67" s="291">
        <v>23.22</v>
      </c>
      <c r="U67" s="70"/>
      <c r="V67" s="47"/>
      <c r="W67" s="37">
        <v>0</v>
      </c>
    </row>
    <row r="68" spans="1:23" ht="14.25" customHeight="1">
      <c r="A68" s="291">
        <v>4387</v>
      </c>
      <c r="B68" s="291">
        <v>342</v>
      </c>
      <c r="C68" s="291" t="s">
        <v>137</v>
      </c>
      <c r="D68" s="291">
        <v>0</v>
      </c>
      <c r="E68" s="291">
        <v>0</v>
      </c>
      <c r="F68" s="291">
        <v>0</v>
      </c>
      <c r="G68" s="291">
        <v>0</v>
      </c>
      <c r="H68" s="291">
        <v>0</v>
      </c>
      <c r="I68" s="291">
        <v>0</v>
      </c>
      <c r="K68" s="291">
        <v>4387</v>
      </c>
      <c r="L68" s="291">
        <v>342</v>
      </c>
      <c r="M68" s="291" t="s">
        <v>137</v>
      </c>
      <c r="N68" s="291">
        <v>0</v>
      </c>
      <c r="O68" s="291">
        <v>0</v>
      </c>
      <c r="P68" s="291">
        <v>0</v>
      </c>
      <c r="Q68" s="291">
        <v>0</v>
      </c>
      <c r="R68" s="291">
        <v>0</v>
      </c>
      <c r="S68" s="291">
        <v>0</v>
      </c>
      <c r="U68" s="70"/>
      <c r="V68" s="47"/>
      <c r="W68" s="37">
        <v>0</v>
      </c>
    </row>
    <row r="69" spans="1:23" ht="14.25" customHeight="1">
      <c r="A69" s="291">
        <v>4388</v>
      </c>
      <c r="B69" s="291">
        <v>344</v>
      </c>
      <c r="C69" s="291" t="s">
        <v>640</v>
      </c>
      <c r="D69" s="291">
        <v>250</v>
      </c>
      <c r="E69" s="291">
        <v>0</v>
      </c>
      <c r="F69" s="291">
        <v>0</v>
      </c>
      <c r="G69" s="291">
        <v>0</v>
      </c>
      <c r="H69" s="291">
        <v>250</v>
      </c>
      <c r="I69" s="291">
        <v>0</v>
      </c>
      <c r="K69" s="291">
        <v>4388</v>
      </c>
      <c r="L69" s="291">
        <v>344</v>
      </c>
      <c r="M69" s="291" t="s">
        <v>640</v>
      </c>
      <c r="N69" s="291">
        <v>250</v>
      </c>
      <c r="O69" s="291">
        <v>0</v>
      </c>
      <c r="P69" s="291">
        <v>0</v>
      </c>
      <c r="Q69" s="291">
        <v>0</v>
      </c>
      <c r="R69" s="291">
        <v>250</v>
      </c>
      <c r="S69" s="291">
        <v>0</v>
      </c>
      <c r="U69" s="70"/>
      <c r="V69" s="47"/>
      <c r="W69" s="37">
        <v>0</v>
      </c>
    </row>
    <row r="70" spans="1:23" ht="14.25" customHeight="1">
      <c r="A70" s="291">
        <v>4389</v>
      </c>
      <c r="B70" s="291">
        <v>346</v>
      </c>
      <c r="C70" s="291" t="s">
        <v>140</v>
      </c>
      <c r="D70" s="291">
        <v>800</v>
      </c>
      <c r="E70" s="291">
        <v>0</v>
      </c>
      <c r="F70" s="291">
        <v>0</v>
      </c>
      <c r="G70" s="291">
        <v>681.54</v>
      </c>
      <c r="H70" s="291">
        <v>118.46</v>
      </c>
      <c r="I70" s="291">
        <v>85.19</v>
      </c>
      <c r="K70" s="291">
        <v>4389</v>
      </c>
      <c r="L70" s="291">
        <v>346</v>
      </c>
      <c r="M70" s="291" t="s">
        <v>140</v>
      </c>
      <c r="N70" s="291">
        <v>800</v>
      </c>
      <c r="O70" s="291">
        <v>0</v>
      </c>
      <c r="P70" s="291">
        <v>0</v>
      </c>
      <c r="Q70" s="291">
        <v>204.52</v>
      </c>
      <c r="R70" s="291">
        <v>595.48</v>
      </c>
      <c r="S70" s="291">
        <v>25.57</v>
      </c>
      <c r="U70" s="70"/>
      <c r="V70" s="47"/>
      <c r="W70" s="37">
        <v>0</v>
      </c>
    </row>
    <row r="71" spans="1:23" ht="14.25" customHeight="1">
      <c r="A71" s="291">
        <v>4434</v>
      </c>
      <c r="B71" s="291">
        <v>348</v>
      </c>
      <c r="C71" s="291" t="s">
        <v>141</v>
      </c>
      <c r="D71" s="291">
        <v>10750</v>
      </c>
      <c r="E71" s="291">
        <v>0</v>
      </c>
      <c r="F71" s="291">
        <v>0</v>
      </c>
      <c r="G71" s="291">
        <v>11095</v>
      </c>
      <c r="H71" s="291">
        <v>-345</v>
      </c>
      <c r="I71" s="291">
        <v>103.21</v>
      </c>
      <c r="K71" s="291">
        <v>4434</v>
      </c>
      <c r="L71" s="291">
        <v>348</v>
      </c>
      <c r="M71" s="291" t="s">
        <v>141</v>
      </c>
      <c r="N71" s="291">
        <v>10750</v>
      </c>
      <c r="O71" s="291">
        <v>0</v>
      </c>
      <c r="P71" s="291">
        <v>0</v>
      </c>
      <c r="Q71" s="291">
        <v>11095</v>
      </c>
      <c r="R71" s="291">
        <v>-345</v>
      </c>
      <c r="S71" s="291">
        <v>103.21</v>
      </c>
      <c r="U71" s="70"/>
      <c r="V71" s="47"/>
      <c r="W71" s="37">
        <v>0</v>
      </c>
    </row>
    <row r="72" spans="1:23" ht="14.25" customHeight="1">
      <c r="A72" s="291">
        <v>4436</v>
      </c>
      <c r="B72" s="291">
        <v>349</v>
      </c>
      <c r="C72" s="291" t="s">
        <v>142</v>
      </c>
      <c r="D72" s="291">
        <v>70</v>
      </c>
      <c r="E72" s="291">
        <v>0</v>
      </c>
      <c r="F72" s="291">
        <v>0</v>
      </c>
      <c r="G72" s="291">
        <v>0</v>
      </c>
      <c r="H72" s="291">
        <v>70</v>
      </c>
      <c r="I72" s="291">
        <v>0</v>
      </c>
      <c r="K72" s="291">
        <v>4436</v>
      </c>
      <c r="L72" s="291">
        <v>349</v>
      </c>
      <c r="M72" s="291" t="s">
        <v>142</v>
      </c>
      <c r="N72" s="291">
        <v>70</v>
      </c>
      <c r="O72" s="291">
        <v>0</v>
      </c>
      <c r="P72" s="291">
        <v>0</v>
      </c>
      <c r="Q72" s="291">
        <v>0</v>
      </c>
      <c r="R72" s="291">
        <v>70</v>
      </c>
      <c r="S72" s="291">
        <v>0</v>
      </c>
      <c r="U72" s="70"/>
      <c r="V72" s="47"/>
      <c r="W72" s="37">
        <v>0</v>
      </c>
    </row>
    <row r="73" spans="1:23" ht="14.25" customHeight="1">
      <c r="A73" s="291">
        <v>4472</v>
      </c>
      <c r="B73" s="291">
        <v>350</v>
      </c>
      <c r="C73" s="291" t="s">
        <v>698</v>
      </c>
      <c r="D73" s="291">
        <v>100</v>
      </c>
      <c r="E73" s="291">
        <v>310</v>
      </c>
      <c r="F73" s="291">
        <v>0</v>
      </c>
      <c r="G73" s="291">
        <v>-216.22</v>
      </c>
      <c r="H73" s="291">
        <v>6.22</v>
      </c>
      <c r="I73" s="291">
        <v>93.78</v>
      </c>
      <c r="K73" s="291">
        <v>4472</v>
      </c>
      <c r="L73" s="291">
        <v>350</v>
      </c>
      <c r="M73" s="291" t="s">
        <v>698</v>
      </c>
      <c r="N73" s="291">
        <v>100</v>
      </c>
      <c r="O73" s="291">
        <v>0</v>
      </c>
      <c r="P73" s="291">
        <v>0</v>
      </c>
      <c r="Q73" s="291">
        <v>0.07</v>
      </c>
      <c r="R73" s="291">
        <v>99.93</v>
      </c>
      <c r="S73" s="291">
        <v>0.07</v>
      </c>
      <c r="U73" s="58"/>
      <c r="V73" s="47"/>
      <c r="W73" s="37">
        <v>0</v>
      </c>
    </row>
    <row r="74" spans="1:23" ht="14.25" customHeight="1">
      <c r="A74" s="291">
        <v>4498</v>
      </c>
      <c r="B74" s="291">
        <v>351</v>
      </c>
      <c r="C74" s="291" t="s">
        <v>144</v>
      </c>
      <c r="D74" s="291">
        <v>18482</v>
      </c>
      <c r="E74" s="291">
        <v>5000</v>
      </c>
      <c r="F74" s="291">
        <v>0</v>
      </c>
      <c r="G74" s="291">
        <v>12400</v>
      </c>
      <c r="H74" s="291">
        <v>1082</v>
      </c>
      <c r="I74" s="291">
        <v>94.15</v>
      </c>
      <c r="K74" s="291">
        <v>4498</v>
      </c>
      <c r="L74" s="291">
        <v>351</v>
      </c>
      <c r="M74" s="291" t="s">
        <v>144</v>
      </c>
      <c r="N74" s="291">
        <v>18482</v>
      </c>
      <c r="O74" s="291">
        <v>0</v>
      </c>
      <c r="P74" s="291">
        <v>0</v>
      </c>
      <c r="Q74" s="291">
        <v>6200</v>
      </c>
      <c r="R74" s="291">
        <v>12282</v>
      </c>
      <c r="S74" s="291">
        <v>33.55</v>
      </c>
      <c r="U74" s="70"/>
      <c r="V74" s="47"/>
      <c r="W74" s="37">
        <v>0</v>
      </c>
    </row>
    <row r="75" spans="1:23" ht="14.25" customHeight="1">
      <c r="A75" s="291">
        <v>4538</v>
      </c>
      <c r="B75" s="291">
        <v>354</v>
      </c>
      <c r="C75" s="291" t="s">
        <v>146</v>
      </c>
      <c r="D75" s="291">
        <v>19465</v>
      </c>
      <c r="E75" s="291">
        <v>600</v>
      </c>
      <c r="F75" s="291">
        <v>0</v>
      </c>
      <c r="G75" s="291">
        <v>8708</v>
      </c>
      <c r="H75" s="291">
        <v>10157</v>
      </c>
      <c r="I75" s="291">
        <v>47.82</v>
      </c>
      <c r="K75" s="291">
        <v>4538</v>
      </c>
      <c r="L75" s="291">
        <v>354</v>
      </c>
      <c r="M75" s="291" t="s">
        <v>146</v>
      </c>
      <c r="N75" s="291">
        <v>19465</v>
      </c>
      <c r="O75" s="291">
        <v>645.46</v>
      </c>
      <c r="P75" s="291">
        <v>0</v>
      </c>
      <c r="Q75" s="291">
        <v>4061.36</v>
      </c>
      <c r="R75" s="291">
        <v>14758.18</v>
      </c>
      <c r="S75" s="291">
        <v>24.18</v>
      </c>
      <c r="U75" s="70"/>
      <c r="V75" s="47"/>
      <c r="W75" s="37">
        <v>0</v>
      </c>
    </row>
    <row r="76" spans="1:23" ht="14.25" customHeight="1">
      <c r="A76" s="291">
        <v>4545</v>
      </c>
      <c r="B76" s="291" t="s">
        <v>531</v>
      </c>
      <c r="C76" s="291" t="s">
        <v>532</v>
      </c>
      <c r="D76" s="291">
        <v>0</v>
      </c>
      <c r="E76" s="291">
        <v>0</v>
      </c>
      <c r="F76" s="291">
        <v>0</v>
      </c>
      <c r="G76" s="291">
        <v>0</v>
      </c>
      <c r="H76" s="291">
        <v>0</v>
      </c>
      <c r="I76" s="291">
        <v>0</v>
      </c>
      <c r="K76" s="291">
        <v>4545</v>
      </c>
      <c r="L76" s="291" t="s">
        <v>531</v>
      </c>
      <c r="M76" s="291" t="s">
        <v>532</v>
      </c>
      <c r="N76" s="291">
        <v>0</v>
      </c>
      <c r="O76" s="291">
        <v>0</v>
      </c>
      <c r="P76" s="291">
        <v>0</v>
      </c>
      <c r="Q76" s="291">
        <v>0</v>
      </c>
      <c r="R76" s="291">
        <v>0</v>
      </c>
      <c r="S76" s="291">
        <v>0</v>
      </c>
      <c r="U76" s="70"/>
      <c r="V76" s="47"/>
      <c r="W76" s="37">
        <v>0</v>
      </c>
    </row>
    <row r="77" spans="1:23" ht="14.25" customHeight="1">
      <c r="A77" s="291">
        <v>4549</v>
      </c>
      <c r="B77" s="291">
        <v>355</v>
      </c>
      <c r="C77" s="291" t="s">
        <v>563</v>
      </c>
      <c r="D77" s="291">
        <v>162000</v>
      </c>
      <c r="E77" s="291">
        <v>0</v>
      </c>
      <c r="F77" s="291">
        <v>0</v>
      </c>
      <c r="G77" s="291">
        <v>162000</v>
      </c>
      <c r="H77" s="291">
        <v>0</v>
      </c>
      <c r="I77" s="291">
        <v>100</v>
      </c>
      <c r="K77" s="291">
        <v>4549</v>
      </c>
      <c r="L77" s="291">
        <v>355</v>
      </c>
      <c r="M77" s="291" t="s">
        <v>563</v>
      </c>
      <c r="N77" s="291">
        <v>162000</v>
      </c>
      <c r="O77" s="291">
        <v>0</v>
      </c>
      <c r="P77" s="291">
        <v>0</v>
      </c>
      <c r="Q77" s="291">
        <v>162000</v>
      </c>
      <c r="R77" s="291">
        <v>0</v>
      </c>
      <c r="S77" s="291">
        <v>100</v>
      </c>
      <c r="U77" s="70"/>
      <c r="V77" s="47"/>
      <c r="W77" s="37">
        <v>0</v>
      </c>
    </row>
    <row r="78" spans="1:23" ht="14.25" customHeight="1">
      <c r="A78" s="291">
        <v>4491</v>
      </c>
      <c r="B78" s="291">
        <v>357</v>
      </c>
      <c r="C78" s="291" t="s">
        <v>539</v>
      </c>
      <c r="D78" s="291">
        <v>2600</v>
      </c>
      <c r="E78" s="291">
        <v>0</v>
      </c>
      <c r="F78" s="291">
        <v>0</v>
      </c>
      <c r="G78" s="291">
        <v>64.75</v>
      </c>
      <c r="H78" s="291">
        <v>2535.25</v>
      </c>
      <c r="I78" s="291">
        <v>2.49</v>
      </c>
      <c r="K78" s="291">
        <v>4491</v>
      </c>
      <c r="L78" s="291">
        <v>357</v>
      </c>
      <c r="M78" s="291" t="s">
        <v>539</v>
      </c>
      <c r="N78" s="291">
        <v>2600</v>
      </c>
      <c r="O78" s="291">
        <v>0</v>
      </c>
      <c r="P78" s="291">
        <v>0</v>
      </c>
      <c r="Q78" s="291">
        <v>52.82</v>
      </c>
      <c r="R78" s="291">
        <v>2547.18</v>
      </c>
      <c r="S78" s="291">
        <v>2.03</v>
      </c>
      <c r="U78" s="70"/>
      <c r="V78" s="47"/>
      <c r="W78" s="37">
        <v>0</v>
      </c>
    </row>
    <row r="79" spans="1:23" ht="14.25" customHeight="1">
      <c r="A79" s="291">
        <v>4518</v>
      </c>
      <c r="B79" s="291">
        <v>358</v>
      </c>
      <c r="C79" s="291" t="s">
        <v>641</v>
      </c>
      <c r="D79" s="291">
        <v>13400</v>
      </c>
      <c r="E79" s="291">
        <v>8411.95</v>
      </c>
      <c r="F79" s="291">
        <v>0</v>
      </c>
      <c r="G79" s="291">
        <v>4490.95</v>
      </c>
      <c r="H79" s="291">
        <v>497.1</v>
      </c>
      <c r="I79" s="291">
        <v>96.29</v>
      </c>
      <c r="K79" s="291">
        <v>4518</v>
      </c>
      <c r="L79" s="291">
        <v>358</v>
      </c>
      <c r="M79" s="291" t="s">
        <v>641</v>
      </c>
      <c r="N79" s="291">
        <v>13400</v>
      </c>
      <c r="O79" s="291">
        <v>10582.5</v>
      </c>
      <c r="P79" s="291">
        <v>0</v>
      </c>
      <c r="Q79" s="291">
        <v>2168.39</v>
      </c>
      <c r="R79" s="291">
        <v>649.11</v>
      </c>
      <c r="S79" s="291">
        <v>95.16</v>
      </c>
      <c r="U79" s="70"/>
      <c r="V79" s="47"/>
      <c r="W79" s="37">
        <v>0</v>
      </c>
    </row>
    <row r="80" spans="1:23" ht="14.25" customHeight="1">
      <c r="A80" s="291">
        <v>4496</v>
      </c>
      <c r="B80" s="291">
        <v>360</v>
      </c>
      <c r="C80" s="291" t="s">
        <v>542</v>
      </c>
      <c r="D80" s="291">
        <v>0</v>
      </c>
      <c r="E80" s="291">
        <v>0</v>
      </c>
      <c r="F80" s="291">
        <v>0</v>
      </c>
      <c r="G80" s="291">
        <v>0</v>
      </c>
      <c r="H80" s="291">
        <v>0</v>
      </c>
      <c r="I80" s="291">
        <v>0</v>
      </c>
      <c r="K80" s="291">
        <v>4496</v>
      </c>
      <c r="L80" s="291">
        <v>360</v>
      </c>
      <c r="M80" s="291" t="s">
        <v>542</v>
      </c>
      <c r="N80" s="291">
        <v>0</v>
      </c>
      <c r="O80" s="291">
        <v>0</v>
      </c>
      <c r="P80" s="291">
        <v>0</v>
      </c>
      <c r="Q80" s="291">
        <v>0</v>
      </c>
      <c r="R80" s="291">
        <v>0</v>
      </c>
      <c r="S80" s="291">
        <v>0</v>
      </c>
      <c r="U80" s="70"/>
      <c r="V80" s="47"/>
      <c r="W80" s="37">
        <v>0</v>
      </c>
    </row>
    <row r="81" spans="1:23" ht="14.25" customHeight="1">
      <c r="A81" s="291">
        <v>4546</v>
      </c>
      <c r="B81" s="291">
        <v>364</v>
      </c>
      <c r="C81" s="291" t="s">
        <v>564</v>
      </c>
      <c r="D81" s="291">
        <v>0</v>
      </c>
      <c r="E81" s="291">
        <v>0</v>
      </c>
      <c r="F81" s="291">
        <v>0</v>
      </c>
      <c r="G81" s="291">
        <v>-50.8</v>
      </c>
      <c r="H81" s="291">
        <v>50.8</v>
      </c>
      <c r="I81" s="291">
        <v>0</v>
      </c>
      <c r="K81" s="291">
        <v>4546</v>
      </c>
      <c r="L81" s="291">
        <v>364</v>
      </c>
      <c r="M81" s="291" t="s">
        <v>564</v>
      </c>
      <c r="N81" s="291">
        <v>0</v>
      </c>
      <c r="O81" s="291">
        <v>0</v>
      </c>
      <c r="P81" s="291">
        <v>0</v>
      </c>
      <c r="Q81" s="291">
        <v>-50.8</v>
      </c>
      <c r="R81" s="291">
        <v>50.8</v>
      </c>
      <c r="S81" s="291">
        <v>0</v>
      </c>
      <c r="U81" s="70"/>
      <c r="V81" s="47"/>
      <c r="W81" s="37">
        <v>0</v>
      </c>
    </row>
    <row r="82" spans="1:23" ht="14.25" customHeight="1">
      <c r="A82" s="291">
        <v>4547</v>
      </c>
      <c r="B82" s="291">
        <v>365</v>
      </c>
      <c r="C82" s="291" t="s">
        <v>565</v>
      </c>
      <c r="D82" s="291">
        <v>1427</v>
      </c>
      <c r="E82" s="291">
        <v>250</v>
      </c>
      <c r="F82" s="291">
        <v>0</v>
      </c>
      <c r="G82" s="291">
        <v>484.28</v>
      </c>
      <c r="H82" s="291">
        <v>692.72</v>
      </c>
      <c r="I82" s="291">
        <v>51.46</v>
      </c>
      <c r="K82" s="291">
        <v>4547</v>
      </c>
      <c r="L82" s="291">
        <v>365</v>
      </c>
      <c r="M82" s="291" t="s">
        <v>565</v>
      </c>
      <c r="N82" s="291">
        <v>1427</v>
      </c>
      <c r="O82" s="291">
        <v>100</v>
      </c>
      <c r="P82" s="291">
        <v>0</v>
      </c>
      <c r="Q82" s="291">
        <v>484.28</v>
      </c>
      <c r="R82" s="291">
        <v>842.72</v>
      </c>
      <c r="S82" s="291">
        <v>40.94</v>
      </c>
      <c r="U82" s="70"/>
      <c r="V82" s="47"/>
      <c r="W82" s="37">
        <v>0</v>
      </c>
    </row>
    <row r="83" spans="1:23" ht="14.25" customHeight="1">
      <c r="A83" s="291">
        <v>4492</v>
      </c>
      <c r="B83" s="291">
        <v>366</v>
      </c>
      <c r="C83" s="291" t="s">
        <v>153</v>
      </c>
      <c r="D83" s="291">
        <v>25000</v>
      </c>
      <c r="E83" s="291">
        <v>11994.9</v>
      </c>
      <c r="F83" s="291">
        <v>0</v>
      </c>
      <c r="G83" s="291">
        <v>8652.11</v>
      </c>
      <c r="H83" s="291">
        <v>4352.99</v>
      </c>
      <c r="I83" s="291">
        <v>82.59</v>
      </c>
      <c r="K83" s="291">
        <v>4492</v>
      </c>
      <c r="L83" s="291">
        <v>366</v>
      </c>
      <c r="M83" s="291" t="s">
        <v>153</v>
      </c>
      <c r="N83" s="291">
        <v>25000</v>
      </c>
      <c r="O83" s="291">
        <v>15694.9</v>
      </c>
      <c r="P83" s="291">
        <v>0</v>
      </c>
      <c r="Q83" s="291">
        <v>5243.79</v>
      </c>
      <c r="R83" s="291">
        <v>4061.31</v>
      </c>
      <c r="S83" s="291">
        <v>83.75</v>
      </c>
      <c r="U83" s="70"/>
      <c r="V83" s="47"/>
      <c r="W83" s="37">
        <v>0</v>
      </c>
    </row>
    <row r="84" spans="1:23" ht="14.25" customHeight="1">
      <c r="A84" s="291">
        <v>4501</v>
      </c>
      <c r="B84" s="291">
        <v>367</v>
      </c>
      <c r="C84" s="291" t="s">
        <v>154</v>
      </c>
      <c r="D84" s="291">
        <v>2574</v>
      </c>
      <c r="E84" s="291">
        <v>0</v>
      </c>
      <c r="F84" s="291">
        <v>0</v>
      </c>
      <c r="G84" s="291">
        <v>1778.31</v>
      </c>
      <c r="H84" s="291">
        <v>795.69</v>
      </c>
      <c r="I84" s="291">
        <v>69.09</v>
      </c>
      <c r="K84" s="291">
        <v>4501</v>
      </c>
      <c r="L84" s="291">
        <v>367</v>
      </c>
      <c r="M84" s="291" t="s">
        <v>154</v>
      </c>
      <c r="N84" s="291">
        <v>2574</v>
      </c>
      <c r="O84" s="291">
        <v>675</v>
      </c>
      <c r="P84" s="291">
        <v>0</v>
      </c>
      <c r="Q84" s="291">
        <v>1103.31</v>
      </c>
      <c r="R84" s="291">
        <v>795.69</v>
      </c>
      <c r="S84" s="291">
        <v>69.09</v>
      </c>
      <c r="U84" s="70"/>
      <c r="V84" s="47"/>
      <c r="W84" s="37">
        <v>0</v>
      </c>
    </row>
    <row r="85" spans="1:23" ht="14.25" customHeight="1">
      <c r="A85" s="291">
        <v>4507</v>
      </c>
      <c r="B85" s="291">
        <v>369</v>
      </c>
      <c r="C85" s="291" t="s">
        <v>155</v>
      </c>
      <c r="D85" s="291">
        <v>28883</v>
      </c>
      <c r="E85" s="291">
        <v>2335</v>
      </c>
      <c r="F85" s="291">
        <v>0</v>
      </c>
      <c r="G85" s="291">
        <v>20583</v>
      </c>
      <c r="H85" s="291">
        <v>5965</v>
      </c>
      <c r="I85" s="291">
        <v>79.35</v>
      </c>
      <c r="K85" s="291">
        <v>4507</v>
      </c>
      <c r="L85" s="291">
        <v>369</v>
      </c>
      <c r="M85" s="291" t="s">
        <v>155</v>
      </c>
      <c r="N85" s="291">
        <v>28883</v>
      </c>
      <c r="O85" s="291">
        <v>835</v>
      </c>
      <c r="P85" s="291">
        <v>0</v>
      </c>
      <c r="Q85" s="291">
        <v>20083</v>
      </c>
      <c r="R85" s="291">
        <v>7965</v>
      </c>
      <c r="S85" s="291">
        <v>72.42</v>
      </c>
      <c r="U85" s="70"/>
      <c r="V85" s="47"/>
      <c r="W85" s="37">
        <v>0</v>
      </c>
    </row>
    <row r="86" spans="1:23" ht="14.25" customHeight="1">
      <c r="A86" s="291">
        <v>4548</v>
      </c>
      <c r="B86" s="291">
        <v>370</v>
      </c>
      <c r="C86" s="291" t="s">
        <v>566</v>
      </c>
      <c r="D86" s="291">
        <v>0</v>
      </c>
      <c r="E86" s="291">
        <v>7450</v>
      </c>
      <c r="F86" s="291">
        <v>0</v>
      </c>
      <c r="G86" s="291">
        <v>-7450</v>
      </c>
      <c r="H86" s="291">
        <v>0</v>
      </c>
      <c r="I86" s="291">
        <v>0</v>
      </c>
      <c r="K86" s="291">
        <v>4548</v>
      </c>
      <c r="L86" s="291">
        <v>370</v>
      </c>
      <c r="M86" s="291" t="s">
        <v>566</v>
      </c>
      <c r="N86" s="291">
        <v>0</v>
      </c>
      <c r="O86" s="291">
        <v>7450</v>
      </c>
      <c r="P86" s="291">
        <v>0</v>
      </c>
      <c r="Q86" s="291">
        <v>-7450</v>
      </c>
      <c r="R86" s="291">
        <v>0</v>
      </c>
      <c r="S86" s="291">
        <v>0</v>
      </c>
      <c r="U86" s="70"/>
      <c r="V86" s="47"/>
      <c r="W86" s="37">
        <v>0</v>
      </c>
    </row>
    <row r="87" spans="1:23" ht="14.25" customHeight="1">
      <c r="A87" s="291">
        <v>4451</v>
      </c>
      <c r="B87" s="291">
        <v>502</v>
      </c>
      <c r="C87" s="291" t="s">
        <v>158</v>
      </c>
      <c r="D87" s="291">
        <v>3500</v>
      </c>
      <c r="E87" s="291">
        <v>2100</v>
      </c>
      <c r="F87" s="291">
        <v>0</v>
      </c>
      <c r="G87" s="291">
        <v>1663.91</v>
      </c>
      <c r="H87" s="291">
        <v>-263.91</v>
      </c>
      <c r="I87" s="291">
        <v>107.54</v>
      </c>
      <c r="K87" s="291">
        <v>4451</v>
      </c>
      <c r="L87" s="291">
        <v>502</v>
      </c>
      <c r="M87" s="291" t="s">
        <v>158</v>
      </c>
      <c r="N87" s="291">
        <v>3500</v>
      </c>
      <c r="O87" s="291">
        <v>2000</v>
      </c>
      <c r="P87" s="291">
        <v>0</v>
      </c>
      <c r="Q87" s="291">
        <v>1583.91</v>
      </c>
      <c r="R87" s="291">
        <v>-83.91</v>
      </c>
      <c r="S87" s="291">
        <v>102.4</v>
      </c>
      <c r="U87" s="70"/>
      <c r="V87" s="47"/>
      <c r="W87" s="37">
        <v>0</v>
      </c>
    </row>
    <row r="88" spans="1:23" ht="14.25" customHeight="1">
      <c r="A88" s="291">
        <v>4452</v>
      </c>
      <c r="B88" s="291">
        <v>503</v>
      </c>
      <c r="C88" s="291" t="s">
        <v>159</v>
      </c>
      <c r="D88" s="291">
        <v>12000</v>
      </c>
      <c r="E88" s="291">
        <v>7322</v>
      </c>
      <c r="F88" s="291">
        <v>0</v>
      </c>
      <c r="G88" s="291">
        <v>4276.54</v>
      </c>
      <c r="H88" s="291">
        <v>401.46</v>
      </c>
      <c r="I88" s="291">
        <v>96.65</v>
      </c>
      <c r="K88" s="291">
        <v>4452</v>
      </c>
      <c r="L88" s="291">
        <v>503</v>
      </c>
      <c r="M88" s="291" t="s">
        <v>159</v>
      </c>
      <c r="N88" s="291">
        <v>12000</v>
      </c>
      <c r="O88" s="291">
        <v>9510</v>
      </c>
      <c r="P88" s="291">
        <v>0</v>
      </c>
      <c r="Q88" s="291">
        <v>2159.41</v>
      </c>
      <c r="R88" s="291">
        <v>330.59</v>
      </c>
      <c r="S88" s="291">
        <v>97.25</v>
      </c>
      <c r="U88" s="70"/>
      <c r="V88" s="47"/>
      <c r="W88" s="37">
        <v>0</v>
      </c>
    </row>
    <row r="89" spans="1:23" ht="14.25" customHeight="1">
      <c r="A89" s="291">
        <v>4453</v>
      </c>
      <c r="B89" s="291">
        <v>504</v>
      </c>
      <c r="C89" s="291" t="s">
        <v>160</v>
      </c>
      <c r="D89" s="291">
        <v>0</v>
      </c>
      <c r="E89" s="291">
        <v>9212.29</v>
      </c>
      <c r="F89" s="291">
        <v>0</v>
      </c>
      <c r="G89" s="291">
        <v>-10660.74</v>
      </c>
      <c r="H89" s="291">
        <v>1448.45</v>
      </c>
      <c r="I89" s="291">
        <v>0</v>
      </c>
      <c r="K89" s="291">
        <v>4453</v>
      </c>
      <c r="L89" s="291">
        <v>504</v>
      </c>
      <c r="M89" s="291" t="s">
        <v>160</v>
      </c>
      <c r="N89" s="291">
        <v>0</v>
      </c>
      <c r="O89" s="291">
        <v>12666</v>
      </c>
      <c r="P89" s="291">
        <v>0</v>
      </c>
      <c r="Q89" s="291">
        <v>-7420.27</v>
      </c>
      <c r="R89" s="291">
        <v>-5245.73</v>
      </c>
      <c r="S89" s="291">
        <v>0</v>
      </c>
      <c r="U89" s="70"/>
      <c r="V89" s="47"/>
      <c r="W89" s="37"/>
    </row>
    <row r="90" spans="1:23" ht="14.25" customHeight="1">
      <c r="A90" s="291">
        <v>4458</v>
      </c>
      <c r="B90" s="291">
        <v>505</v>
      </c>
      <c r="C90" s="291" t="s">
        <v>161</v>
      </c>
      <c r="D90" s="291">
        <v>140000</v>
      </c>
      <c r="E90" s="291">
        <v>93.95</v>
      </c>
      <c r="F90" s="291">
        <v>0</v>
      </c>
      <c r="G90" s="291">
        <v>14697.19</v>
      </c>
      <c r="H90" s="291">
        <v>125208.86</v>
      </c>
      <c r="I90" s="291">
        <v>10.57</v>
      </c>
      <c r="K90" s="291">
        <v>4458</v>
      </c>
      <c r="L90" s="291">
        <v>505</v>
      </c>
      <c r="M90" s="291" t="s">
        <v>161</v>
      </c>
      <c r="N90" s="291">
        <v>140000</v>
      </c>
      <c r="O90" s="291">
        <v>228.95</v>
      </c>
      <c r="P90" s="291">
        <v>0</v>
      </c>
      <c r="Q90" s="291">
        <v>11638.52</v>
      </c>
      <c r="R90" s="291">
        <v>128132.53</v>
      </c>
      <c r="S90" s="291">
        <v>8.48</v>
      </c>
      <c r="U90" s="58"/>
      <c r="V90" s="47"/>
      <c r="W90" s="37"/>
    </row>
    <row r="91" spans="1:23" ht="14.25" customHeight="1">
      <c r="A91" s="291">
        <v>4459</v>
      </c>
      <c r="B91" s="291">
        <v>506</v>
      </c>
      <c r="C91" s="291" t="s">
        <v>162</v>
      </c>
      <c r="D91" s="291">
        <v>500</v>
      </c>
      <c r="E91" s="291">
        <v>0</v>
      </c>
      <c r="F91" s="291">
        <v>0</v>
      </c>
      <c r="G91" s="291">
        <v>198.28</v>
      </c>
      <c r="H91" s="291">
        <v>301.72</v>
      </c>
      <c r="I91" s="291">
        <v>39.66</v>
      </c>
      <c r="K91" s="291">
        <v>4459</v>
      </c>
      <c r="L91" s="291">
        <v>506</v>
      </c>
      <c r="M91" s="291" t="s">
        <v>162</v>
      </c>
      <c r="N91" s="291">
        <v>500</v>
      </c>
      <c r="O91" s="291">
        <v>13</v>
      </c>
      <c r="P91" s="291">
        <v>0</v>
      </c>
      <c r="Q91" s="291">
        <v>179.63</v>
      </c>
      <c r="R91" s="291">
        <v>307.37</v>
      </c>
      <c r="S91" s="291">
        <v>38.53</v>
      </c>
      <c r="U91" s="70"/>
      <c r="V91" s="47"/>
      <c r="W91" s="37"/>
    </row>
    <row r="92" spans="1:23" ht="14.25" customHeight="1">
      <c r="A92" s="291">
        <v>4460</v>
      </c>
      <c r="B92" s="291">
        <v>509</v>
      </c>
      <c r="C92" s="291" t="s">
        <v>167</v>
      </c>
      <c r="D92" s="291">
        <v>949</v>
      </c>
      <c r="E92" s="291">
        <v>119.95</v>
      </c>
      <c r="F92" s="291">
        <v>0</v>
      </c>
      <c r="G92" s="291">
        <v>239.59</v>
      </c>
      <c r="H92" s="291">
        <v>589.46</v>
      </c>
      <c r="I92" s="291">
        <v>37.89</v>
      </c>
      <c r="K92" s="291">
        <v>4460</v>
      </c>
      <c r="L92" s="291">
        <v>509</v>
      </c>
      <c r="M92" s="291" t="s">
        <v>167</v>
      </c>
      <c r="N92" s="291">
        <v>949</v>
      </c>
      <c r="O92" s="291">
        <v>56.58</v>
      </c>
      <c r="P92" s="291">
        <v>0</v>
      </c>
      <c r="Q92" s="291">
        <v>4.23</v>
      </c>
      <c r="R92" s="291">
        <v>888.19</v>
      </c>
      <c r="S92" s="291">
        <v>6.41</v>
      </c>
      <c r="U92" s="70"/>
      <c r="V92" s="47"/>
      <c r="W92" s="37"/>
    </row>
    <row r="93" spans="1:23" ht="14.25" customHeight="1">
      <c r="A93" s="291">
        <v>4461</v>
      </c>
      <c r="B93" s="291">
        <v>510</v>
      </c>
      <c r="C93" s="291" t="s">
        <v>168</v>
      </c>
      <c r="D93" s="291">
        <v>1800</v>
      </c>
      <c r="E93" s="291">
        <v>106.69</v>
      </c>
      <c r="F93" s="291">
        <v>0</v>
      </c>
      <c r="G93" s="291">
        <v>335.47</v>
      </c>
      <c r="H93" s="291">
        <v>1357.84</v>
      </c>
      <c r="I93" s="291">
        <v>24.56</v>
      </c>
      <c r="K93" s="291">
        <v>4461</v>
      </c>
      <c r="L93" s="291">
        <v>510</v>
      </c>
      <c r="M93" s="291" t="s">
        <v>168</v>
      </c>
      <c r="N93" s="291">
        <v>1800</v>
      </c>
      <c r="O93" s="291">
        <v>38.97</v>
      </c>
      <c r="P93" s="291">
        <v>0</v>
      </c>
      <c r="Q93" s="291">
        <v>187.89</v>
      </c>
      <c r="R93" s="291">
        <v>1573.14</v>
      </c>
      <c r="S93" s="291">
        <v>12.6</v>
      </c>
      <c r="U93" s="70"/>
      <c r="V93" s="47"/>
      <c r="W93" s="37"/>
    </row>
    <row r="94" spans="1:23" ht="14.25" customHeight="1">
      <c r="A94" s="291">
        <v>4462</v>
      </c>
      <c r="B94" s="291">
        <v>513</v>
      </c>
      <c r="C94" s="291" t="s">
        <v>173</v>
      </c>
      <c r="D94" s="291">
        <v>10000</v>
      </c>
      <c r="E94" s="291">
        <v>6225.24</v>
      </c>
      <c r="F94" s="291">
        <v>0</v>
      </c>
      <c r="G94" s="291">
        <v>768.35</v>
      </c>
      <c r="H94" s="291">
        <v>3006.41</v>
      </c>
      <c r="I94" s="291">
        <v>69.94</v>
      </c>
      <c r="K94" s="291">
        <v>4462</v>
      </c>
      <c r="L94" s="291">
        <v>513</v>
      </c>
      <c r="M94" s="291" t="s">
        <v>173</v>
      </c>
      <c r="N94" s="291">
        <v>10000</v>
      </c>
      <c r="O94" s="291">
        <v>6903.12</v>
      </c>
      <c r="P94" s="291">
        <v>0</v>
      </c>
      <c r="Q94" s="291">
        <v>-658.74</v>
      </c>
      <c r="R94" s="291">
        <v>3755.62</v>
      </c>
      <c r="S94" s="291">
        <v>62.44</v>
      </c>
      <c r="U94" s="70"/>
      <c r="V94" s="47"/>
      <c r="W94" s="37"/>
    </row>
    <row r="95" spans="1:23" ht="14.25" customHeight="1">
      <c r="A95" s="291">
        <v>4463</v>
      </c>
      <c r="B95" s="291">
        <v>514</v>
      </c>
      <c r="C95" s="291" t="s">
        <v>174</v>
      </c>
      <c r="D95" s="291">
        <v>0</v>
      </c>
      <c r="E95" s="291">
        <v>0</v>
      </c>
      <c r="F95" s="291">
        <v>0</v>
      </c>
      <c r="G95" s="291">
        <v>-2111.16</v>
      </c>
      <c r="H95" s="291">
        <v>2111.16</v>
      </c>
      <c r="I95" s="291">
        <v>0</v>
      </c>
      <c r="K95" s="291">
        <v>4463</v>
      </c>
      <c r="L95" s="291">
        <v>514</v>
      </c>
      <c r="M95" s="291" t="s">
        <v>174</v>
      </c>
      <c r="N95" s="291">
        <v>0</v>
      </c>
      <c r="O95" s="291">
        <v>0</v>
      </c>
      <c r="P95" s="291">
        <v>0</v>
      </c>
      <c r="Q95" s="291">
        <v>-5538.6</v>
      </c>
      <c r="R95" s="291">
        <v>5538.6</v>
      </c>
      <c r="S95" s="291">
        <v>0</v>
      </c>
      <c r="U95" s="70"/>
      <c r="V95" s="47"/>
      <c r="W95" s="37"/>
    </row>
    <row r="96" spans="1:23" ht="14.25" customHeight="1">
      <c r="A96" s="291">
        <v>4464</v>
      </c>
      <c r="B96" s="291">
        <v>515</v>
      </c>
      <c r="C96" s="291" t="s">
        <v>175</v>
      </c>
      <c r="D96" s="291">
        <v>5000</v>
      </c>
      <c r="E96" s="291">
        <v>598</v>
      </c>
      <c r="F96" s="291">
        <v>0</v>
      </c>
      <c r="G96" s="291">
        <v>1519.84</v>
      </c>
      <c r="H96" s="291">
        <v>2882.16</v>
      </c>
      <c r="I96" s="291">
        <v>42.36</v>
      </c>
      <c r="K96" s="291">
        <v>4464</v>
      </c>
      <c r="L96" s="291">
        <v>515</v>
      </c>
      <c r="M96" s="291" t="s">
        <v>175</v>
      </c>
      <c r="N96" s="291">
        <v>5000</v>
      </c>
      <c r="O96" s="291">
        <v>647</v>
      </c>
      <c r="P96" s="291">
        <v>0</v>
      </c>
      <c r="Q96" s="291">
        <v>944.87</v>
      </c>
      <c r="R96" s="291">
        <v>3408.13</v>
      </c>
      <c r="S96" s="291">
        <v>31.84</v>
      </c>
      <c r="U96" s="70"/>
      <c r="V96" s="47"/>
      <c r="W96" s="37"/>
    </row>
    <row r="97" spans="1:23" ht="14.25" customHeight="1">
      <c r="A97" s="291">
        <v>4465</v>
      </c>
      <c r="B97" s="291">
        <v>516</v>
      </c>
      <c r="C97" s="291" t="s">
        <v>176</v>
      </c>
      <c r="D97" s="291">
        <v>-30600</v>
      </c>
      <c r="E97" s="291">
        <v>0</v>
      </c>
      <c r="F97" s="291">
        <v>0</v>
      </c>
      <c r="G97" s="291">
        <v>-4703.31</v>
      </c>
      <c r="H97" s="291">
        <v>-25896.69</v>
      </c>
      <c r="I97" s="291">
        <v>15.37</v>
      </c>
      <c r="K97" s="291">
        <v>4465</v>
      </c>
      <c r="L97" s="291">
        <v>516</v>
      </c>
      <c r="M97" s="291" t="s">
        <v>176</v>
      </c>
      <c r="N97" s="291">
        <v>-13600</v>
      </c>
      <c r="O97" s="291">
        <v>0</v>
      </c>
      <c r="P97" s="291">
        <v>0</v>
      </c>
      <c r="Q97" s="291">
        <v>-2044.29</v>
      </c>
      <c r="R97" s="291">
        <v>-11555.71</v>
      </c>
      <c r="S97" s="291">
        <v>15.03</v>
      </c>
      <c r="U97" s="70"/>
      <c r="V97" s="47"/>
      <c r="W97" s="37"/>
    </row>
    <row r="98" spans="1:23" ht="14.25" customHeight="1">
      <c r="A98" s="291">
        <v>4466</v>
      </c>
      <c r="B98" s="291">
        <v>517</v>
      </c>
      <c r="C98" s="291" t="s">
        <v>177</v>
      </c>
      <c r="D98" s="291">
        <v>2500</v>
      </c>
      <c r="E98" s="291">
        <v>110</v>
      </c>
      <c r="F98" s="291">
        <v>0</v>
      </c>
      <c r="G98" s="291">
        <v>1066.08</v>
      </c>
      <c r="H98" s="291">
        <v>1323.92</v>
      </c>
      <c r="I98" s="291">
        <v>47.04</v>
      </c>
      <c r="K98" s="291">
        <v>4466</v>
      </c>
      <c r="L98" s="291">
        <v>517</v>
      </c>
      <c r="M98" s="291" t="s">
        <v>177</v>
      </c>
      <c r="N98" s="291">
        <v>2500</v>
      </c>
      <c r="O98" s="291">
        <v>199.04</v>
      </c>
      <c r="P98" s="291">
        <v>0</v>
      </c>
      <c r="Q98" s="291">
        <v>568.27</v>
      </c>
      <c r="R98" s="291">
        <v>1732.69</v>
      </c>
      <c r="S98" s="291">
        <v>30.69</v>
      </c>
      <c r="U98" s="70"/>
      <c r="V98" s="47"/>
      <c r="W98" s="37"/>
    </row>
    <row r="99" spans="1:23" ht="14.25" customHeight="1">
      <c r="A99" s="291">
        <v>4467</v>
      </c>
      <c r="B99" s="291">
        <v>518</v>
      </c>
      <c r="C99" s="291" t="s">
        <v>178</v>
      </c>
      <c r="D99" s="291">
        <v>6000</v>
      </c>
      <c r="E99" s="291">
        <v>4125</v>
      </c>
      <c r="F99" s="291">
        <v>0</v>
      </c>
      <c r="G99" s="291">
        <v>1582.95</v>
      </c>
      <c r="H99" s="291">
        <v>292.05</v>
      </c>
      <c r="I99" s="291">
        <v>95.13</v>
      </c>
      <c r="K99" s="291">
        <v>4467</v>
      </c>
      <c r="L99" s="291">
        <v>518</v>
      </c>
      <c r="M99" s="291" t="s">
        <v>178</v>
      </c>
      <c r="N99" s="291">
        <v>6000</v>
      </c>
      <c r="O99" s="291">
        <v>5024.98</v>
      </c>
      <c r="P99" s="291">
        <v>0</v>
      </c>
      <c r="Q99" s="291">
        <v>734.29</v>
      </c>
      <c r="R99" s="291">
        <v>240.73</v>
      </c>
      <c r="S99" s="291">
        <v>95.99</v>
      </c>
      <c r="U99" s="70"/>
      <c r="V99" s="47"/>
      <c r="W99" s="37"/>
    </row>
    <row r="100" spans="1:23" ht="14.25" customHeight="1">
      <c r="A100" s="291">
        <v>4468</v>
      </c>
      <c r="B100" s="291">
        <v>519</v>
      </c>
      <c r="C100" s="291" t="s">
        <v>179</v>
      </c>
      <c r="D100" s="291">
        <v>35000</v>
      </c>
      <c r="E100" s="291">
        <v>28093.7</v>
      </c>
      <c r="F100" s="291">
        <v>0</v>
      </c>
      <c r="G100" s="291">
        <v>7755.69</v>
      </c>
      <c r="H100" s="291">
        <v>-849.39</v>
      </c>
      <c r="I100" s="291">
        <v>102.43</v>
      </c>
      <c r="K100" s="291">
        <v>4468</v>
      </c>
      <c r="L100" s="291">
        <v>519</v>
      </c>
      <c r="M100" s="291" t="s">
        <v>179</v>
      </c>
      <c r="N100" s="291">
        <v>35000</v>
      </c>
      <c r="O100" s="291">
        <v>39224.76</v>
      </c>
      <c r="P100" s="291">
        <v>0</v>
      </c>
      <c r="Q100" s="291">
        <v>-4223.37</v>
      </c>
      <c r="R100" s="291">
        <v>-1.39</v>
      </c>
      <c r="S100" s="291">
        <v>100</v>
      </c>
      <c r="U100" s="70"/>
      <c r="V100" s="47"/>
      <c r="W100" s="37"/>
    </row>
    <row r="101" spans="1:23" ht="14.25" customHeight="1">
      <c r="A101" s="291">
        <v>4469</v>
      </c>
      <c r="B101" s="291">
        <v>520</v>
      </c>
      <c r="C101" s="291" t="s">
        <v>180</v>
      </c>
      <c r="D101" s="291">
        <v>0</v>
      </c>
      <c r="E101" s="291">
        <v>0</v>
      </c>
      <c r="F101" s="291">
        <v>0</v>
      </c>
      <c r="G101" s="291">
        <v>-246</v>
      </c>
      <c r="H101" s="291">
        <v>246</v>
      </c>
      <c r="I101" s="291">
        <v>0</v>
      </c>
      <c r="K101" s="291">
        <v>4469</v>
      </c>
      <c r="L101" s="291">
        <v>520</v>
      </c>
      <c r="M101" s="291" t="s">
        <v>180</v>
      </c>
      <c r="N101" s="291">
        <v>0</v>
      </c>
      <c r="O101" s="291">
        <v>0</v>
      </c>
      <c r="P101" s="291">
        <v>0</v>
      </c>
      <c r="Q101" s="291">
        <v>-108</v>
      </c>
      <c r="R101" s="291">
        <v>108</v>
      </c>
      <c r="S101" s="291">
        <v>0</v>
      </c>
      <c r="U101" s="70"/>
      <c r="V101" s="47"/>
      <c r="W101" s="37"/>
    </row>
    <row r="102" spans="1:23" ht="14.25" customHeight="1">
      <c r="A102" s="291">
        <v>4470</v>
      </c>
      <c r="B102" s="291">
        <v>522</v>
      </c>
      <c r="C102" s="291" t="s">
        <v>567</v>
      </c>
      <c r="D102" s="291">
        <v>2000</v>
      </c>
      <c r="E102" s="291">
        <v>0</v>
      </c>
      <c r="F102" s="291">
        <v>0</v>
      </c>
      <c r="G102" s="291">
        <v>610.48</v>
      </c>
      <c r="H102" s="291">
        <v>1389.52</v>
      </c>
      <c r="I102" s="291">
        <v>30.52</v>
      </c>
      <c r="K102" s="291">
        <v>4470</v>
      </c>
      <c r="L102" s="291">
        <v>522</v>
      </c>
      <c r="M102" s="291" t="s">
        <v>567</v>
      </c>
      <c r="N102" s="291">
        <v>2000</v>
      </c>
      <c r="O102" s="291">
        <v>0</v>
      </c>
      <c r="P102" s="291">
        <v>0</v>
      </c>
      <c r="Q102" s="291">
        <v>293.27</v>
      </c>
      <c r="R102" s="291">
        <v>1706.73</v>
      </c>
      <c r="S102" s="291">
        <v>14.66</v>
      </c>
      <c r="U102" s="70"/>
      <c r="V102" s="47"/>
      <c r="W102" s="37"/>
    </row>
    <row r="103" spans="1:23" ht="14.25" customHeight="1">
      <c r="A103" s="291">
        <v>4471</v>
      </c>
      <c r="B103" s="291">
        <v>526</v>
      </c>
      <c r="C103" s="291" t="s">
        <v>183</v>
      </c>
      <c r="D103" s="291">
        <v>4000</v>
      </c>
      <c r="E103" s="291">
        <v>372</v>
      </c>
      <c r="F103" s="291">
        <v>0</v>
      </c>
      <c r="G103" s="291">
        <v>804.75</v>
      </c>
      <c r="H103" s="291">
        <v>2823.25</v>
      </c>
      <c r="I103" s="291">
        <v>29.42</v>
      </c>
      <c r="K103" s="291">
        <v>4471</v>
      </c>
      <c r="L103" s="291">
        <v>526</v>
      </c>
      <c r="M103" s="291" t="s">
        <v>183</v>
      </c>
      <c r="N103" s="291">
        <v>4000</v>
      </c>
      <c r="O103" s="291">
        <v>434</v>
      </c>
      <c r="P103" s="291">
        <v>0</v>
      </c>
      <c r="Q103" s="291">
        <v>247</v>
      </c>
      <c r="R103" s="291">
        <v>3319</v>
      </c>
      <c r="S103" s="291">
        <v>17.03</v>
      </c>
      <c r="U103" s="70"/>
      <c r="V103" s="47"/>
      <c r="W103" s="37"/>
    </row>
    <row r="104" spans="1:23" ht="14.25" customHeight="1">
      <c r="A104" s="291">
        <v>4473</v>
      </c>
      <c r="B104" s="291">
        <v>527</v>
      </c>
      <c r="C104" s="291" t="s">
        <v>184</v>
      </c>
      <c r="D104" s="291">
        <v>14926</v>
      </c>
      <c r="E104" s="291">
        <v>30.38</v>
      </c>
      <c r="F104" s="291">
        <v>0</v>
      </c>
      <c r="G104" s="291">
        <v>5739.2</v>
      </c>
      <c r="H104" s="291">
        <v>9156.42</v>
      </c>
      <c r="I104" s="291">
        <v>38.65</v>
      </c>
      <c r="K104" s="291">
        <v>4473</v>
      </c>
      <c r="L104" s="291">
        <v>527</v>
      </c>
      <c r="M104" s="291" t="s">
        <v>184</v>
      </c>
      <c r="N104" s="291">
        <v>14926</v>
      </c>
      <c r="O104" s="291">
        <v>39.06</v>
      </c>
      <c r="P104" s="291">
        <v>0</v>
      </c>
      <c r="Q104" s="291">
        <v>5634.71</v>
      </c>
      <c r="R104" s="291">
        <v>9252.23</v>
      </c>
      <c r="S104" s="291">
        <v>38.01</v>
      </c>
      <c r="U104" s="70"/>
      <c r="V104" s="47"/>
      <c r="W104" s="37"/>
    </row>
    <row r="105" spans="1:23" ht="14.25" customHeight="1">
      <c r="A105" s="291">
        <v>4410</v>
      </c>
      <c r="B105" s="291">
        <v>531</v>
      </c>
      <c r="C105" s="291" t="s">
        <v>185</v>
      </c>
      <c r="D105" s="291">
        <v>0</v>
      </c>
      <c r="E105" s="291">
        <v>0</v>
      </c>
      <c r="F105" s="291">
        <v>0</v>
      </c>
      <c r="G105" s="291">
        <v>0</v>
      </c>
      <c r="H105" s="291">
        <v>0</v>
      </c>
      <c r="I105" s="291">
        <v>0</v>
      </c>
      <c r="K105" s="291">
        <v>4410</v>
      </c>
      <c r="L105" s="291">
        <v>531</v>
      </c>
      <c r="M105" s="291" t="s">
        <v>185</v>
      </c>
      <c r="N105" s="291">
        <v>0</v>
      </c>
      <c r="O105" s="291">
        <v>0</v>
      </c>
      <c r="P105" s="291">
        <v>0</v>
      </c>
      <c r="Q105" s="291">
        <v>0</v>
      </c>
      <c r="R105" s="291">
        <v>0</v>
      </c>
      <c r="S105" s="291">
        <v>0</v>
      </c>
      <c r="U105" s="70"/>
      <c r="V105" s="47"/>
      <c r="W105" s="37"/>
    </row>
    <row r="106" spans="1:23" ht="14.25" customHeight="1">
      <c r="A106" s="291">
        <v>4415</v>
      </c>
      <c r="B106" s="291">
        <v>536</v>
      </c>
      <c r="C106" s="291" t="s">
        <v>187</v>
      </c>
      <c r="D106" s="291">
        <v>450</v>
      </c>
      <c r="E106" s="291">
        <v>0</v>
      </c>
      <c r="F106" s="291">
        <v>0</v>
      </c>
      <c r="G106" s="291">
        <v>0</v>
      </c>
      <c r="H106" s="291">
        <v>450</v>
      </c>
      <c r="I106" s="291">
        <v>0</v>
      </c>
      <c r="K106" s="291">
        <v>4415</v>
      </c>
      <c r="L106" s="291">
        <v>536</v>
      </c>
      <c r="M106" s="291" t="s">
        <v>187</v>
      </c>
      <c r="N106" s="291">
        <v>450</v>
      </c>
      <c r="O106" s="291">
        <v>0</v>
      </c>
      <c r="P106" s="291">
        <v>0</v>
      </c>
      <c r="Q106" s="291">
        <v>0</v>
      </c>
      <c r="R106" s="291">
        <v>450</v>
      </c>
      <c r="S106" s="291">
        <v>0</v>
      </c>
      <c r="U106" s="70"/>
      <c r="V106" s="47"/>
      <c r="W106" s="37"/>
    </row>
    <row r="107" spans="1:23" ht="14.25" customHeight="1">
      <c r="A107" s="291">
        <v>4421</v>
      </c>
      <c r="B107" s="291">
        <v>539</v>
      </c>
      <c r="C107" s="291" t="s">
        <v>188</v>
      </c>
      <c r="D107" s="291">
        <v>38500</v>
      </c>
      <c r="E107" s="291">
        <v>22483.6</v>
      </c>
      <c r="F107" s="291">
        <v>0</v>
      </c>
      <c r="G107" s="291">
        <v>12828.61</v>
      </c>
      <c r="H107" s="291">
        <v>3187.79</v>
      </c>
      <c r="I107" s="291">
        <v>91.72</v>
      </c>
      <c r="K107" s="291">
        <v>4421</v>
      </c>
      <c r="L107" s="291">
        <v>539</v>
      </c>
      <c r="M107" s="291" t="s">
        <v>188</v>
      </c>
      <c r="N107" s="291">
        <v>38500</v>
      </c>
      <c r="O107" s="291">
        <v>23481.4</v>
      </c>
      <c r="P107" s="291">
        <v>0</v>
      </c>
      <c r="Q107" s="291">
        <v>10295.07</v>
      </c>
      <c r="R107" s="291">
        <v>4723.53</v>
      </c>
      <c r="S107" s="291">
        <v>87.73</v>
      </c>
      <c r="U107" s="70"/>
      <c r="V107" s="47"/>
      <c r="W107" s="37"/>
    </row>
    <row r="108" spans="1:23" ht="14.25" customHeight="1">
      <c r="A108" s="291">
        <v>4422</v>
      </c>
      <c r="B108" s="291">
        <v>540</v>
      </c>
      <c r="C108" s="291" t="s">
        <v>189</v>
      </c>
      <c r="D108" s="291">
        <v>0</v>
      </c>
      <c r="E108" s="291">
        <v>0</v>
      </c>
      <c r="F108" s="291">
        <v>0</v>
      </c>
      <c r="G108" s="291">
        <v>0</v>
      </c>
      <c r="H108" s="291">
        <v>0</v>
      </c>
      <c r="I108" s="291">
        <v>0</v>
      </c>
      <c r="K108" s="291">
        <v>4422</v>
      </c>
      <c r="L108" s="291">
        <v>540</v>
      </c>
      <c r="M108" s="291" t="s">
        <v>189</v>
      </c>
      <c r="N108" s="291">
        <v>0</v>
      </c>
      <c r="O108" s="291">
        <v>0</v>
      </c>
      <c r="P108" s="291">
        <v>0</v>
      </c>
      <c r="Q108" s="291">
        <v>0</v>
      </c>
      <c r="R108" s="291">
        <v>0</v>
      </c>
      <c r="S108" s="291">
        <v>0</v>
      </c>
      <c r="U108" s="70"/>
      <c r="V108" s="47"/>
      <c r="W108" s="37"/>
    </row>
    <row r="109" spans="1:23" ht="14.25" customHeight="1">
      <c r="A109" s="291">
        <v>4423</v>
      </c>
      <c r="B109" s="291">
        <v>541</v>
      </c>
      <c r="C109" s="291" t="s">
        <v>581</v>
      </c>
      <c r="D109" s="291">
        <v>0</v>
      </c>
      <c r="E109" s="291">
        <v>0</v>
      </c>
      <c r="F109" s="291">
        <v>0</v>
      </c>
      <c r="G109" s="291">
        <v>0</v>
      </c>
      <c r="H109" s="291">
        <v>0</v>
      </c>
      <c r="I109" s="291">
        <v>0</v>
      </c>
      <c r="K109" s="291">
        <v>4423</v>
      </c>
      <c r="L109" s="291">
        <v>541</v>
      </c>
      <c r="M109" s="291" t="s">
        <v>581</v>
      </c>
      <c r="N109" s="291">
        <v>0</v>
      </c>
      <c r="O109" s="291">
        <v>0</v>
      </c>
      <c r="P109" s="291">
        <v>0</v>
      </c>
      <c r="Q109" s="291">
        <v>0</v>
      </c>
      <c r="R109" s="291">
        <v>0</v>
      </c>
      <c r="S109" s="291">
        <v>0</v>
      </c>
      <c r="U109" s="70"/>
      <c r="V109" s="47"/>
      <c r="W109" s="37"/>
    </row>
    <row r="110" spans="1:23" ht="14.25" customHeight="1">
      <c r="A110" s="291">
        <v>4424</v>
      </c>
      <c r="B110" s="291">
        <v>542</v>
      </c>
      <c r="C110" s="291" t="s">
        <v>193</v>
      </c>
      <c r="D110" s="291">
        <v>0</v>
      </c>
      <c r="E110" s="291">
        <v>0</v>
      </c>
      <c r="F110" s="291">
        <v>0</v>
      </c>
      <c r="G110" s="291">
        <v>0</v>
      </c>
      <c r="H110" s="291">
        <v>0</v>
      </c>
      <c r="I110" s="291">
        <v>0</v>
      </c>
      <c r="K110" s="291">
        <v>4424</v>
      </c>
      <c r="L110" s="291">
        <v>542</v>
      </c>
      <c r="M110" s="291" t="s">
        <v>193</v>
      </c>
      <c r="N110" s="291">
        <v>0</v>
      </c>
      <c r="O110" s="291">
        <v>0</v>
      </c>
      <c r="P110" s="291">
        <v>0</v>
      </c>
      <c r="Q110" s="291">
        <v>0</v>
      </c>
      <c r="R110" s="291">
        <v>0</v>
      </c>
      <c r="S110" s="291">
        <v>0</v>
      </c>
      <c r="U110" s="70"/>
      <c r="V110" s="47"/>
      <c r="W110" s="37"/>
    </row>
    <row r="111" spans="1:23" ht="14.25" customHeight="1">
      <c r="A111" s="291">
        <v>4475</v>
      </c>
      <c r="B111" s="291">
        <v>544</v>
      </c>
      <c r="C111" s="291" t="s">
        <v>195</v>
      </c>
      <c r="D111" s="291">
        <v>1000</v>
      </c>
      <c r="E111" s="291">
        <v>367.5</v>
      </c>
      <c r="F111" s="291">
        <v>0</v>
      </c>
      <c r="G111" s="291">
        <v>1101</v>
      </c>
      <c r="H111" s="291">
        <v>-468.5</v>
      </c>
      <c r="I111" s="291">
        <v>146.85</v>
      </c>
      <c r="K111" s="291">
        <v>4475</v>
      </c>
      <c r="L111" s="291">
        <v>544</v>
      </c>
      <c r="M111" s="291" t="s">
        <v>195</v>
      </c>
      <c r="N111" s="291">
        <v>1000</v>
      </c>
      <c r="O111" s="291">
        <v>767.5</v>
      </c>
      <c r="P111" s="291">
        <v>0</v>
      </c>
      <c r="Q111" s="291">
        <v>606</v>
      </c>
      <c r="R111" s="291">
        <v>-373.5</v>
      </c>
      <c r="S111" s="291">
        <v>137.35</v>
      </c>
      <c r="U111" s="70"/>
      <c r="V111" s="47"/>
      <c r="W111" s="37"/>
    </row>
    <row r="112" spans="1:23" ht="14.25" customHeight="1">
      <c r="A112" s="291">
        <v>4514</v>
      </c>
      <c r="B112" s="291">
        <v>545</v>
      </c>
      <c r="C112" s="291" t="s">
        <v>196</v>
      </c>
      <c r="D112" s="291">
        <v>0</v>
      </c>
      <c r="E112" s="291">
        <v>0</v>
      </c>
      <c r="F112" s="291">
        <v>0</v>
      </c>
      <c r="G112" s="291">
        <v>-38.13</v>
      </c>
      <c r="H112" s="291">
        <v>38.13</v>
      </c>
      <c r="I112" s="291">
        <v>0</v>
      </c>
      <c r="K112" s="291">
        <v>4514</v>
      </c>
      <c r="L112" s="291">
        <v>545</v>
      </c>
      <c r="M112" s="291" t="s">
        <v>196</v>
      </c>
      <c r="N112" s="291">
        <v>0</v>
      </c>
      <c r="O112" s="291">
        <v>0</v>
      </c>
      <c r="P112" s="291">
        <v>0</v>
      </c>
      <c r="Q112" s="291">
        <v>-38.13</v>
      </c>
      <c r="R112" s="291">
        <v>38.13</v>
      </c>
      <c r="S112" s="291">
        <v>0</v>
      </c>
      <c r="U112" s="70"/>
      <c r="V112" s="47"/>
      <c r="W112" s="37"/>
    </row>
    <row r="113" spans="1:23" ht="14.25" customHeight="1">
      <c r="A113" s="291">
        <v>4427</v>
      </c>
      <c r="B113" s="291">
        <v>548</v>
      </c>
      <c r="C113" s="291" t="s">
        <v>197</v>
      </c>
      <c r="D113" s="291">
        <v>90000</v>
      </c>
      <c r="E113" s="291">
        <v>35243.7</v>
      </c>
      <c r="F113" s="291">
        <v>0</v>
      </c>
      <c r="G113" s="291">
        <v>25971.15</v>
      </c>
      <c r="H113" s="291">
        <v>28785.15</v>
      </c>
      <c r="I113" s="291">
        <v>68.02</v>
      </c>
      <c r="K113" s="291">
        <v>4427</v>
      </c>
      <c r="L113" s="291">
        <v>548</v>
      </c>
      <c r="M113" s="291" t="s">
        <v>197</v>
      </c>
      <c r="N113" s="291">
        <v>90000</v>
      </c>
      <c r="O113" s="291">
        <v>19525.65</v>
      </c>
      <c r="P113" s="291">
        <v>0</v>
      </c>
      <c r="Q113" s="291">
        <v>16131.95</v>
      </c>
      <c r="R113" s="291">
        <v>54342.4</v>
      </c>
      <c r="S113" s="291">
        <v>39.62</v>
      </c>
      <c r="U113" s="70"/>
      <c r="V113" s="47"/>
      <c r="W113" s="37"/>
    </row>
    <row r="114" spans="1:23" ht="14.25" customHeight="1">
      <c r="A114" s="291">
        <v>4521</v>
      </c>
      <c r="B114" s="291">
        <v>550</v>
      </c>
      <c r="C114" s="291" t="s">
        <v>642</v>
      </c>
      <c r="D114" s="291">
        <v>-2000</v>
      </c>
      <c r="E114" s="291">
        <v>0</v>
      </c>
      <c r="F114" s="291">
        <v>0</v>
      </c>
      <c r="G114" s="291">
        <v>-422.97</v>
      </c>
      <c r="H114" s="291">
        <v>-1577.03</v>
      </c>
      <c r="I114" s="291">
        <v>21.15</v>
      </c>
      <c r="K114" s="291">
        <v>4521</v>
      </c>
      <c r="L114" s="291">
        <v>550</v>
      </c>
      <c r="M114" s="291" t="s">
        <v>642</v>
      </c>
      <c r="N114" s="291">
        <v>-2000</v>
      </c>
      <c r="O114" s="291">
        <v>0</v>
      </c>
      <c r="P114" s="291">
        <v>0</v>
      </c>
      <c r="Q114" s="291">
        <v>-284.49</v>
      </c>
      <c r="R114" s="291">
        <v>-1715.51</v>
      </c>
      <c r="S114" s="291">
        <v>14.22</v>
      </c>
      <c r="U114" s="70"/>
      <c r="V114" s="47"/>
      <c r="W114" s="37"/>
    </row>
    <row r="115" spans="1:23" ht="14.25" customHeight="1">
      <c r="A115" s="291">
        <v>4522</v>
      </c>
      <c r="B115" s="291">
        <v>552</v>
      </c>
      <c r="C115" s="291" t="s">
        <v>524</v>
      </c>
      <c r="D115" s="291">
        <v>857</v>
      </c>
      <c r="E115" s="291">
        <v>0</v>
      </c>
      <c r="F115" s="291">
        <v>0</v>
      </c>
      <c r="G115" s="291">
        <v>22.88</v>
      </c>
      <c r="H115" s="291">
        <v>834.12</v>
      </c>
      <c r="I115" s="291">
        <v>2.67</v>
      </c>
      <c r="K115" s="291">
        <v>4522</v>
      </c>
      <c r="L115" s="291">
        <v>552</v>
      </c>
      <c r="M115" s="291" t="s">
        <v>524</v>
      </c>
      <c r="N115" s="291">
        <v>857</v>
      </c>
      <c r="O115" s="291">
        <v>0</v>
      </c>
      <c r="P115" s="291">
        <v>0</v>
      </c>
      <c r="Q115" s="291">
        <v>-26.11</v>
      </c>
      <c r="R115" s="291">
        <v>883.11</v>
      </c>
      <c r="S115" s="291">
        <v>-3.05</v>
      </c>
      <c r="U115" s="70"/>
      <c r="V115" s="47"/>
      <c r="W115" s="37"/>
    </row>
    <row r="116" spans="1:23" ht="14.25" customHeight="1">
      <c r="A116" s="291">
        <v>4431</v>
      </c>
      <c r="B116" s="291">
        <v>557</v>
      </c>
      <c r="C116" s="291" t="s">
        <v>582</v>
      </c>
      <c r="D116" s="291">
        <v>0</v>
      </c>
      <c r="E116" s="291">
        <v>0</v>
      </c>
      <c r="F116" s="291">
        <v>0</v>
      </c>
      <c r="G116" s="291">
        <v>10.54</v>
      </c>
      <c r="H116" s="291">
        <v>-10.54</v>
      </c>
      <c r="I116" s="291">
        <v>0</v>
      </c>
      <c r="K116" s="291">
        <v>4431</v>
      </c>
      <c r="L116" s="291">
        <v>557</v>
      </c>
      <c r="M116" s="291" t="s">
        <v>582</v>
      </c>
      <c r="N116" s="291">
        <v>0</v>
      </c>
      <c r="O116" s="291">
        <v>0</v>
      </c>
      <c r="P116" s="291">
        <v>0</v>
      </c>
      <c r="Q116" s="291">
        <v>10.54</v>
      </c>
      <c r="R116" s="291">
        <v>-10.54</v>
      </c>
      <c r="S116" s="291">
        <v>0</v>
      </c>
      <c r="U116" s="70"/>
      <c r="V116" s="47"/>
      <c r="W116" s="37"/>
    </row>
    <row r="117" spans="1:23" ht="14.25" customHeight="1">
      <c r="A117" s="291">
        <v>4433</v>
      </c>
      <c r="B117" s="291">
        <v>560</v>
      </c>
      <c r="C117" s="291" t="s">
        <v>203</v>
      </c>
      <c r="D117" s="291">
        <v>2500</v>
      </c>
      <c r="E117" s="291">
        <v>1394</v>
      </c>
      <c r="F117" s="291">
        <v>0</v>
      </c>
      <c r="G117" s="291">
        <v>0</v>
      </c>
      <c r="H117" s="291">
        <v>1106</v>
      </c>
      <c r="I117" s="291">
        <v>55.76</v>
      </c>
      <c r="K117" s="291">
        <v>4433</v>
      </c>
      <c r="L117" s="291">
        <v>560</v>
      </c>
      <c r="M117" s="291" t="s">
        <v>203</v>
      </c>
      <c r="N117" s="291">
        <v>2500</v>
      </c>
      <c r="O117" s="291">
        <v>0</v>
      </c>
      <c r="P117" s="291">
        <v>0</v>
      </c>
      <c r="Q117" s="291">
        <v>0</v>
      </c>
      <c r="R117" s="291">
        <v>2500</v>
      </c>
      <c r="S117" s="291">
        <v>0</v>
      </c>
      <c r="U117" s="70"/>
      <c r="V117" s="47"/>
      <c r="W117" s="37"/>
    </row>
    <row r="118" spans="1:23" ht="14.25" customHeight="1">
      <c r="A118" s="291">
        <v>4512</v>
      </c>
      <c r="B118" s="291">
        <v>564</v>
      </c>
      <c r="C118" s="291" t="s">
        <v>205</v>
      </c>
      <c r="D118" s="291">
        <v>31500</v>
      </c>
      <c r="E118" s="291">
        <v>0</v>
      </c>
      <c r="F118" s="291">
        <v>0</v>
      </c>
      <c r="G118" s="291">
        <v>10546.2</v>
      </c>
      <c r="H118" s="291">
        <v>20953.8</v>
      </c>
      <c r="I118" s="291">
        <v>33.48</v>
      </c>
      <c r="K118" s="291">
        <v>4512</v>
      </c>
      <c r="L118" s="291">
        <v>564</v>
      </c>
      <c r="M118" s="291" t="s">
        <v>205</v>
      </c>
      <c r="N118" s="291">
        <v>31500</v>
      </c>
      <c r="O118" s="291">
        <v>0</v>
      </c>
      <c r="P118" s="291">
        <v>0</v>
      </c>
      <c r="Q118" s="291">
        <v>3906</v>
      </c>
      <c r="R118" s="291">
        <v>27594</v>
      </c>
      <c r="S118" s="291">
        <v>12.4</v>
      </c>
      <c r="U118" s="70"/>
      <c r="V118" s="47"/>
      <c r="W118" s="37"/>
    </row>
    <row r="119" spans="1:23" ht="14.25" customHeight="1">
      <c r="A119" s="291">
        <v>4437</v>
      </c>
      <c r="B119" s="291">
        <v>565</v>
      </c>
      <c r="C119" s="291" t="s">
        <v>206</v>
      </c>
      <c r="D119" s="291">
        <v>8500</v>
      </c>
      <c r="E119" s="291">
        <v>450</v>
      </c>
      <c r="F119" s="291">
        <v>0</v>
      </c>
      <c r="G119" s="291">
        <v>3867.43</v>
      </c>
      <c r="H119" s="291">
        <v>4182.57</v>
      </c>
      <c r="I119" s="291">
        <v>50.79</v>
      </c>
      <c r="K119" s="291">
        <v>4437</v>
      </c>
      <c r="L119" s="291">
        <v>565</v>
      </c>
      <c r="M119" s="291" t="s">
        <v>206</v>
      </c>
      <c r="N119" s="291">
        <v>8500</v>
      </c>
      <c r="O119" s="291">
        <v>300</v>
      </c>
      <c r="P119" s="291">
        <v>0</v>
      </c>
      <c r="Q119" s="291">
        <v>1460.13</v>
      </c>
      <c r="R119" s="291">
        <v>6739.87</v>
      </c>
      <c r="S119" s="291">
        <v>20.71</v>
      </c>
      <c r="U119" s="70"/>
      <c r="V119" s="47"/>
      <c r="W119" s="37"/>
    </row>
    <row r="120" spans="1:23" ht="14.25" customHeight="1">
      <c r="A120" s="291">
        <v>4541</v>
      </c>
      <c r="B120" s="291">
        <v>576</v>
      </c>
      <c r="C120" s="291" t="s">
        <v>211</v>
      </c>
      <c r="D120" s="291">
        <v>200</v>
      </c>
      <c r="E120" s="291">
        <v>0</v>
      </c>
      <c r="F120" s="291">
        <v>0</v>
      </c>
      <c r="G120" s="291">
        <v>34.29</v>
      </c>
      <c r="H120" s="291">
        <v>165.71</v>
      </c>
      <c r="I120" s="291">
        <v>17.15</v>
      </c>
      <c r="K120" s="291">
        <v>4541</v>
      </c>
      <c r="L120" s="291">
        <v>576</v>
      </c>
      <c r="M120" s="291" t="s">
        <v>211</v>
      </c>
      <c r="N120" s="291">
        <v>200</v>
      </c>
      <c r="O120" s="291">
        <v>0</v>
      </c>
      <c r="P120" s="291">
        <v>0</v>
      </c>
      <c r="Q120" s="291">
        <v>16.8</v>
      </c>
      <c r="R120" s="291">
        <v>183.2</v>
      </c>
      <c r="S120" s="291">
        <v>8.4</v>
      </c>
      <c r="U120" s="70"/>
      <c r="V120" s="47"/>
      <c r="W120" s="37"/>
    </row>
    <row r="121" spans="1:23" ht="14.25" customHeight="1">
      <c r="A121" s="291">
        <v>4391</v>
      </c>
      <c r="B121" s="291">
        <v>601</v>
      </c>
      <c r="C121" s="291" t="s">
        <v>568</v>
      </c>
      <c r="D121" s="291">
        <v>2500</v>
      </c>
      <c r="E121" s="291">
        <v>75.24</v>
      </c>
      <c r="F121" s="291">
        <v>0</v>
      </c>
      <c r="G121" s="291">
        <v>379.24</v>
      </c>
      <c r="H121" s="291">
        <v>2045.52</v>
      </c>
      <c r="I121" s="291">
        <v>18.18</v>
      </c>
      <c r="K121" s="291">
        <v>4391</v>
      </c>
      <c r="L121" s="291">
        <v>601</v>
      </c>
      <c r="M121" s="291" t="s">
        <v>568</v>
      </c>
      <c r="N121" s="291">
        <v>2500</v>
      </c>
      <c r="O121" s="291">
        <v>112.86</v>
      </c>
      <c r="P121" s="291">
        <v>0</v>
      </c>
      <c r="Q121" s="291">
        <v>328.62</v>
      </c>
      <c r="R121" s="291">
        <v>2058.52</v>
      </c>
      <c r="S121" s="291">
        <v>17.66</v>
      </c>
      <c r="U121" s="70"/>
      <c r="V121" s="47"/>
      <c r="W121" s="37"/>
    </row>
    <row r="122" spans="1:23" ht="14.25" customHeight="1">
      <c r="A122" s="291">
        <v>4392</v>
      </c>
      <c r="B122" s="291">
        <v>602</v>
      </c>
      <c r="C122" s="291" t="s">
        <v>215</v>
      </c>
      <c r="D122" s="291">
        <v>125000</v>
      </c>
      <c r="E122" s="291">
        <v>71161.5</v>
      </c>
      <c r="F122" s="291">
        <v>0</v>
      </c>
      <c r="G122" s="291">
        <v>53415.86</v>
      </c>
      <c r="H122" s="291">
        <v>422.64</v>
      </c>
      <c r="I122" s="291">
        <v>99.66</v>
      </c>
      <c r="K122" s="291">
        <v>4392</v>
      </c>
      <c r="L122" s="291">
        <v>602</v>
      </c>
      <c r="M122" s="291" t="s">
        <v>215</v>
      </c>
      <c r="N122" s="291">
        <v>125000</v>
      </c>
      <c r="O122" s="291">
        <v>92654.5</v>
      </c>
      <c r="P122" s="291">
        <v>0</v>
      </c>
      <c r="Q122" s="291">
        <v>31941.38</v>
      </c>
      <c r="R122" s="291">
        <v>404.12</v>
      </c>
      <c r="S122" s="291">
        <v>99.68</v>
      </c>
      <c r="U122" s="70"/>
      <c r="V122" s="47"/>
      <c r="W122" s="37"/>
    </row>
    <row r="123" spans="1:23" ht="14.25" customHeight="1">
      <c r="A123" s="291">
        <v>4587</v>
      </c>
      <c r="B123" s="291">
        <v>603</v>
      </c>
      <c r="C123" s="291" t="s">
        <v>699</v>
      </c>
      <c r="D123" s="291">
        <v>54530</v>
      </c>
      <c r="E123" s="291">
        <v>37210</v>
      </c>
      <c r="F123" s="291">
        <v>0</v>
      </c>
      <c r="G123" s="291">
        <v>3728</v>
      </c>
      <c r="H123" s="291">
        <v>13592</v>
      </c>
      <c r="I123" s="291">
        <v>75.07</v>
      </c>
      <c r="K123" s="291">
        <v>4587</v>
      </c>
      <c r="L123" s="291">
        <v>603</v>
      </c>
      <c r="M123" s="291" t="s">
        <v>699</v>
      </c>
      <c r="N123" s="291">
        <v>54530</v>
      </c>
      <c r="O123" s="291">
        <v>0</v>
      </c>
      <c r="P123" s="291">
        <v>0</v>
      </c>
      <c r="Q123" s="291">
        <v>2000</v>
      </c>
      <c r="R123" s="291">
        <v>52530</v>
      </c>
      <c r="S123" s="291">
        <v>3.67</v>
      </c>
      <c r="U123" s="70"/>
      <c r="V123" s="47"/>
      <c r="W123" s="37"/>
    </row>
    <row r="124" spans="1:23" ht="14.25" customHeight="1">
      <c r="A124" s="291">
        <v>4393</v>
      </c>
      <c r="B124" s="291">
        <v>604</v>
      </c>
      <c r="C124" s="291" t="s">
        <v>216</v>
      </c>
      <c r="D124" s="291">
        <v>1000</v>
      </c>
      <c r="E124" s="291">
        <v>0</v>
      </c>
      <c r="F124" s="291">
        <v>0</v>
      </c>
      <c r="G124" s="291">
        <v>400</v>
      </c>
      <c r="H124" s="291">
        <v>600</v>
      </c>
      <c r="I124" s="291">
        <v>40</v>
      </c>
      <c r="K124" s="291">
        <v>4393</v>
      </c>
      <c r="L124" s="291">
        <v>604</v>
      </c>
      <c r="M124" s="291" t="s">
        <v>216</v>
      </c>
      <c r="N124" s="291">
        <v>1000</v>
      </c>
      <c r="O124" s="291">
        <v>0</v>
      </c>
      <c r="P124" s="291">
        <v>0</v>
      </c>
      <c r="Q124" s="291">
        <v>0</v>
      </c>
      <c r="R124" s="291">
        <v>1000</v>
      </c>
      <c r="S124" s="291">
        <v>0</v>
      </c>
      <c r="U124" s="70"/>
      <c r="V124" s="47"/>
      <c r="W124" s="37"/>
    </row>
    <row r="125" spans="1:23" ht="14.25" customHeight="1">
      <c r="A125" s="291">
        <v>4474</v>
      </c>
      <c r="B125" s="291">
        <v>605</v>
      </c>
      <c r="C125" s="291" t="s">
        <v>217</v>
      </c>
      <c r="D125" s="291">
        <v>65000</v>
      </c>
      <c r="E125" s="291">
        <v>13855.15</v>
      </c>
      <c r="F125" s="291">
        <v>0</v>
      </c>
      <c r="G125" s="291">
        <v>13799.89</v>
      </c>
      <c r="H125" s="291">
        <v>37344.96</v>
      </c>
      <c r="I125" s="291">
        <v>42.55</v>
      </c>
      <c r="K125" s="291">
        <v>4474</v>
      </c>
      <c r="L125" s="291">
        <v>605</v>
      </c>
      <c r="M125" s="291" t="s">
        <v>217</v>
      </c>
      <c r="N125" s="291">
        <v>65000</v>
      </c>
      <c r="O125" s="291">
        <v>13781.55</v>
      </c>
      <c r="P125" s="291">
        <v>0</v>
      </c>
      <c r="Q125" s="291">
        <v>6780.15</v>
      </c>
      <c r="R125" s="291">
        <v>44438.3</v>
      </c>
      <c r="S125" s="291">
        <v>31.63</v>
      </c>
      <c r="U125" s="70"/>
      <c r="V125" s="47"/>
      <c r="W125" s="37"/>
    </row>
    <row r="126" spans="1:23" ht="14.25" customHeight="1">
      <c r="A126" s="291">
        <v>4394</v>
      </c>
      <c r="B126" s="291">
        <v>606</v>
      </c>
      <c r="C126" s="291" t="s">
        <v>218</v>
      </c>
      <c r="D126" s="291">
        <v>16000</v>
      </c>
      <c r="E126" s="291">
        <v>9930</v>
      </c>
      <c r="F126" s="291">
        <v>0</v>
      </c>
      <c r="G126" s="291">
        <v>5406.25</v>
      </c>
      <c r="H126" s="291">
        <v>663.75</v>
      </c>
      <c r="I126" s="291">
        <v>95.85</v>
      </c>
      <c r="K126" s="291">
        <v>4394</v>
      </c>
      <c r="L126" s="291">
        <v>606</v>
      </c>
      <c r="M126" s="291" t="s">
        <v>218</v>
      </c>
      <c r="N126" s="291">
        <v>16000</v>
      </c>
      <c r="O126" s="291">
        <v>12412.5</v>
      </c>
      <c r="P126" s="291">
        <v>0</v>
      </c>
      <c r="Q126" s="291">
        <v>2923.75</v>
      </c>
      <c r="R126" s="291">
        <v>663.75</v>
      </c>
      <c r="S126" s="291">
        <v>95.85</v>
      </c>
      <c r="U126" s="70"/>
      <c r="V126" s="47"/>
      <c r="W126" s="37"/>
    </row>
    <row r="127" spans="1:23" ht="14.25" customHeight="1">
      <c r="A127" s="291">
        <v>4395</v>
      </c>
      <c r="B127" s="291">
        <v>607</v>
      </c>
      <c r="C127" s="291" t="s">
        <v>219</v>
      </c>
      <c r="D127" s="291">
        <v>52000</v>
      </c>
      <c r="E127" s="291">
        <v>0</v>
      </c>
      <c r="F127" s="291">
        <v>0</v>
      </c>
      <c r="G127" s="291">
        <v>24789.5</v>
      </c>
      <c r="H127" s="291">
        <v>27210.5</v>
      </c>
      <c r="I127" s="291">
        <v>47.67</v>
      </c>
      <c r="K127" s="291">
        <v>4395</v>
      </c>
      <c r="L127" s="291">
        <v>607</v>
      </c>
      <c r="M127" s="291" t="s">
        <v>219</v>
      </c>
      <c r="N127" s="291">
        <v>52000</v>
      </c>
      <c r="O127" s="291">
        <v>0</v>
      </c>
      <c r="P127" s="291">
        <v>0</v>
      </c>
      <c r="Q127" s="291">
        <v>24541</v>
      </c>
      <c r="R127" s="291">
        <v>27459</v>
      </c>
      <c r="S127" s="291">
        <v>47.19</v>
      </c>
      <c r="U127" s="70"/>
      <c r="V127" s="47"/>
      <c r="W127" s="37"/>
    </row>
    <row r="128" spans="1:23" ht="14.25" customHeight="1">
      <c r="A128" s="291">
        <v>4396</v>
      </c>
      <c r="B128" s="291">
        <v>608</v>
      </c>
      <c r="C128" s="291" t="s">
        <v>220</v>
      </c>
      <c r="D128" s="291">
        <v>34500</v>
      </c>
      <c r="E128" s="291">
        <v>0</v>
      </c>
      <c r="F128" s="291">
        <v>0</v>
      </c>
      <c r="G128" s="291">
        <v>20562.21</v>
      </c>
      <c r="H128" s="291">
        <v>13937.79</v>
      </c>
      <c r="I128" s="291">
        <v>59.6</v>
      </c>
      <c r="K128" s="291">
        <v>4396</v>
      </c>
      <c r="L128" s="291">
        <v>608</v>
      </c>
      <c r="M128" s="291" t="s">
        <v>220</v>
      </c>
      <c r="N128" s="291">
        <v>34500</v>
      </c>
      <c r="O128" s="291">
        <v>7050</v>
      </c>
      <c r="P128" s="291">
        <v>0</v>
      </c>
      <c r="Q128" s="291">
        <v>13512.21</v>
      </c>
      <c r="R128" s="291">
        <v>13937.79</v>
      </c>
      <c r="S128" s="291">
        <v>59.6</v>
      </c>
      <c r="U128" s="70"/>
      <c r="V128" s="47"/>
      <c r="W128" s="37"/>
    </row>
    <row r="129" spans="1:23" ht="14.25" customHeight="1">
      <c r="A129" s="291">
        <v>4397</v>
      </c>
      <c r="B129" s="291">
        <v>609</v>
      </c>
      <c r="C129" s="291" t="s">
        <v>221</v>
      </c>
      <c r="D129" s="291">
        <v>-75000</v>
      </c>
      <c r="E129" s="291">
        <v>0</v>
      </c>
      <c r="F129" s="291">
        <v>0</v>
      </c>
      <c r="G129" s="291">
        <v>-34701.57</v>
      </c>
      <c r="H129" s="291">
        <v>-40298.43</v>
      </c>
      <c r="I129" s="291">
        <v>46.27</v>
      </c>
      <c r="K129" s="291">
        <v>4397</v>
      </c>
      <c r="L129" s="291">
        <v>609</v>
      </c>
      <c r="M129" s="291" t="s">
        <v>221</v>
      </c>
      <c r="N129" s="291">
        <v>-75000</v>
      </c>
      <c r="O129" s="291">
        <v>0</v>
      </c>
      <c r="P129" s="291">
        <v>0</v>
      </c>
      <c r="Q129" s="291">
        <v>-23402</v>
      </c>
      <c r="R129" s="291">
        <v>-51598</v>
      </c>
      <c r="S129" s="291">
        <v>31.2</v>
      </c>
      <c r="U129" s="70"/>
      <c r="V129" s="47"/>
      <c r="W129" s="37"/>
    </row>
    <row r="130" spans="1:23" ht="14.25" customHeight="1">
      <c r="A130" s="291">
        <v>4398</v>
      </c>
      <c r="B130" s="291">
        <v>611</v>
      </c>
      <c r="C130" s="291" t="s">
        <v>222</v>
      </c>
      <c r="D130" s="291">
        <v>8500</v>
      </c>
      <c r="E130" s="291">
        <v>3847.04</v>
      </c>
      <c r="F130" s="291">
        <v>0</v>
      </c>
      <c r="G130" s="291">
        <v>3817.47</v>
      </c>
      <c r="H130" s="291">
        <v>835.49</v>
      </c>
      <c r="I130" s="291">
        <v>90.17</v>
      </c>
      <c r="K130" s="291">
        <v>4398</v>
      </c>
      <c r="L130" s="291">
        <v>611</v>
      </c>
      <c r="M130" s="291" t="s">
        <v>222</v>
      </c>
      <c r="N130" s="291">
        <v>8500</v>
      </c>
      <c r="O130" s="291">
        <v>4866.8</v>
      </c>
      <c r="P130" s="291">
        <v>0</v>
      </c>
      <c r="Q130" s="291">
        <v>2490.01</v>
      </c>
      <c r="R130" s="291">
        <v>1143.19</v>
      </c>
      <c r="S130" s="291">
        <v>86.55</v>
      </c>
      <c r="U130" s="70"/>
      <c r="V130" s="47"/>
      <c r="W130" s="37"/>
    </row>
    <row r="131" spans="1:23" ht="14.25" customHeight="1">
      <c r="A131" s="291">
        <v>4399</v>
      </c>
      <c r="B131" s="291">
        <v>612</v>
      </c>
      <c r="C131" s="291" t="s">
        <v>223</v>
      </c>
      <c r="D131" s="291">
        <v>24000</v>
      </c>
      <c r="E131" s="291">
        <v>23000</v>
      </c>
      <c r="F131" s="291">
        <v>0</v>
      </c>
      <c r="G131" s="291">
        <v>1092.33</v>
      </c>
      <c r="H131" s="291">
        <v>-92.33</v>
      </c>
      <c r="I131" s="291">
        <v>100.38</v>
      </c>
      <c r="K131" s="291">
        <v>4399</v>
      </c>
      <c r="L131" s="291">
        <v>612</v>
      </c>
      <c r="M131" s="291" t="s">
        <v>223</v>
      </c>
      <c r="N131" s="291">
        <v>24000</v>
      </c>
      <c r="O131" s="291">
        <v>24000</v>
      </c>
      <c r="P131" s="291">
        <v>0</v>
      </c>
      <c r="Q131" s="291">
        <v>0</v>
      </c>
      <c r="R131" s="291">
        <v>0</v>
      </c>
      <c r="S131" s="291">
        <v>100</v>
      </c>
      <c r="U131" s="70"/>
      <c r="V131" s="47"/>
      <c r="W131" s="37"/>
    </row>
    <row r="132" spans="1:23" ht="14.25" customHeight="1">
      <c r="A132" s="291">
        <v>4401</v>
      </c>
      <c r="B132" s="291">
        <v>613</v>
      </c>
      <c r="C132" s="291" t="s">
        <v>224</v>
      </c>
      <c r="D132" s="291">
        <v>135000</v>
      </c>
      <c r="E132" s="291">
        <v>93180.5</v>
      </c>
      <c r="F132" s="291">
        <v>0</v>
      </c>
      <c r="G132" s="291">
        <v>45467.05</v>
      </c>
      <c r="H132" s="291">
        <v>-3647.55</v>
      </c>
      <c r="I132" s="291">
        <v>102.7</v>
      </c>
      <c r="K132" s="291">
        <v>4401</v>
      </c>
      <c r="L132" s="291">
        <v>613</v>
      </c>
      <c r="M132" s="291" t="s">
        <v>224</v>
      </c>
      <c r="N132" s="291">
        <v>135000</v>
      </c>
      <c r="O132" s="291">
        <v>122020.75</v>
      </c>
      <c r="P132" s="291">
        <v>0</v>
      </c>
      <c r="Q132" s="291">
        <v>14763.38</v>
      </c>
      <c r="R132" s="291">
        <v>-1784.13</v>
      </c>
      <c r="S132" s="291">
        <v>101.32</v>
      </c>
      <c r="U132" s="70"/>
      <c r="V132" s="47"/>
      <c r="W132" s="37"/>
    </row>
    <row r="133" spans="1:23" ht="14.25" customHeight="1">
      <c r="A133" s="291">
        <v>4499</v>
      </c>
      <c r="B133" s="291">
        <v>615</v>
      </c>
      <c r="C133" s="291" t="s">
        <v>226</v>
      </c>
      <c r="D133" s="291">
        <v>0</v>
      </c>
      <c r="E133" s="291">
        <v>0</v>
      </c>
      <c r="F133" s="291">
        <v>0</v>
      </c>
      <c r="G133" s="291">
        <v>0</v>
      </c>
      <c r="H133" s="291">
        <v>0</v>
      </c>
      <c r="I133" s="291">
        <v>0</v>
      </c>
      <c r="K133" s="291">
        <v>4499</v>
      </c>
      <c r="L133" s="291">
        <v>615</v>
      </c>
      <c r="M133" s="291" t="s">
        <v>226</v>
      </c>
      <c r="N133" s="291">
        <v>0</v>
      </c>
      <c r="O133" s="291">
        <v>0</v>
      </c>
      <c r="P133" s="291">
        <v>0</v>
      </c>
      <c r="Q133" s="291">
        <v>0</v>
      </c>
      <c r="R133" s="291">
        <v>0</v>
      </c>
      <c r="S133" s="291">
        <v>0</v>
      </c>
      <c r="U133" s="70"/>
      <c r="V133" s="47"/>
      <c r="W133" s="37"/>
    </row>
    <row r="134" spans="1:23" ht="14.25" customHeight="1">
      <c r="A134" s="291">
        <v>4500</v>
      </c>
      <c r="B134" s="291" t="s">
        <v>227</v>
      </c>
      <c r="C134" s="291" t="s">
        <v>228</v>
      </c>
      <c r="D134" s="291">
        <v>0</v>
      </c>
      <c r="E134" s="291">
        <v>0</v>
      </c>
      <c r="F134" s="291">
        <v>0</v>
      </c>
      <c r="G134" s="291">
        <v>0</v>
      </c>
      <c r="H134" s="291">
        <v>0</v>
      </c>
      <c r="I134" s="291">
        <v>0</v>
      </c>
      <c r="K134" s="291">
        <v>4500</v>
      </c>
      <c r="L134" s="291" t="s">
        <v>227</v>
      </c>
      <c r="M134" s="291" t="s">
        <v>228</v>
      </c>
      <c r="N134" s="291">
        <v>0</v>
      </c>
      <c r="O134" s="291">
        <v>0</v>
      </c>
      <c r="P134" s="291">
        <v>0</v>
      </c>
      <c r="Q134" s="291">
        <v>0</v>
      </c>
      <c r="R134" s="291">
        <v>0</v>
      </c>
      <c r="S134" s="291">
        <v>0</v>
      </c>
      <c r="U134" s="70"/>
      <c r="V134" s="47"/>
      <c r="W134" s="37"/>
    </row>
    <row r="135" spans="1:23" ht="14.25" customHeight="1">
      <c r="A135" s="291">
        <v>4480</v>
      </c>
      <c r="B135" s="291">
        <v>640</v>
      </c>
      <c r="C135" s="291" t="s">
        <v>229</v>
      </c>
      <c r="D135" s="291">
        <v>-35000</v>
      </c>
      <c r="E135" s="291">
        <v>0</v>
      </c>
      <c r="F135" s="291">
        <v>0</v>
      </c>
      <c r="G135" s="291">
        <v>-13892.5</v>
      </c>
      <c r="H135" s="291">
        <v>-21107.5</v>
      </c>
      <c r="I135" s="291">
        <v>39.69</v>
      </c>
      <c r="K135" s="291">
        <v>4480</v>
      </c>
      <c r="L135" s="291">
        <v>640</v>
      </c>
      <c r="M135" s="291" t="s">
        <v>229</v>
      </c>
      <c r="N135" s="291">
        <v>-35000</v>
      </c>
      <c r="O135" s="291">
        <v>0</v>
      </c>
      <c r="P135" s="291">
        <v>0</v>
      </c>
      <c r="Q135" s="291">
        <v>-9039</v>
      </c>
      <c r="R135" s="291">
        <v>-25961</v>
      </c>
      <c r="S135" s="291">
        <v>25.83</v>
      </c>
      <c r="U135" s="70"/>
      <c r="V135" s="47"/>
      <c r="W135" s="37"/>
    </row>
    <row r="136" spans="1:23" ht="14.25" customHeight="1">
      <c r="A136" s="291">
        <v>4481</v>
      </c>
      <c r="B136" s="291" t="s">
        <v>230</v>
      </c>
      <c r="C136" s="291" t="s">
        <v>231</v>
      </c>
      <c r="D136" s="291">
        <v>13000</v>
      </c>
      <c r="E136" s="291">
        <v>8938.21</v>
      </c>
      <c r="F136" s="291">
        <v>0</v>
      </c>
      <c r="G136" s="291">
        <v>4899.74</v>
      </c>
      <c r="H136" s="291">
        <v>-837.95</v>
      </c>
      <c r="I136" s="291">
        <v>106.45</v>
      </c>
      <c r="K136" s="291">
        <v>4481</v>
      </c>
      <c r="L136" s="291" t="s">
        <v>230</v>
      </c>
      <c r="M136" s="291" t="s">
        <v>231</v>
      </c>
      <c r="N136" s="291">
        <v>13000</v>
      </c>
      <c r="O136" s="291">
        <v>10305.48</v>
      </c>
      <c r="P136" s="291">
        <v>0</v>
      </c>
      <c r="Q136" s="291">
        <v>2672.47</v>
      </c>
      <c r="R136" s="291">
        <v>22.05</v>
      </c>
      <c r="S136" s="291">
        <v>99.83</v>
      </c>
      <c r="U136" s="70"/>
      <c r="V136" s="47"/>
      <c r="W136" s="37"/>
    </row>
    <row r="137" spans="1:23" ht="14.25" customHeight="1">
      <c r="A137" s="291">
        <v>4429</v>
      </c>
      <c r="B137" s="291">
        <v>649</v>
      </c>
      <c r="C137" s="291" t="s">
        <v>232</v>
      </c>
      <c r="D137" s="291">
        <v>0</v>
      </c>
      <c r="E137" s="291">
        <v>0</v>
      </c>
      <c r="F137" s="291">
        <v>0</v>
      </c>
      <c r="G137" s="291">
        <v>0</v>
      </c>
      <c r="H137" s="291">
        <v>0</v>
      </c>
      <c r="I137" s="291">
        <v>0</v>
      </c>
      <c r="K137" s="291">
        <v>4429</v>
      </c>
      <c r="L137" s="291">
        <v>649</v>
      </c>
      <c r="M137" s="291" t="s">
        <v>232</v>
      </c>
      <c r="N137" s="291">
        <v>0</v>
      </c>
      <c r="O137" s="291">
        <v>0</v>
      </c>
      <c r="P137" s="291">
        <v>0</v>
      </c>
      <c r="Q137" s="291">
        <v>0</v>
      </c>
      <c r="R137" s="291">
        <v>0</v>
      </c>
      <c r="S137" s="291">
        <v>0</v>
      </c>
      <c r="U137" s="70"/>
      <c r="V137" s="47"/>
      <c r="W137" s="37"/>
    </row>
    <row r="138" spans="1:23" ht="14.25" customHeight="1">
      <c r="A138" s="291">
        <v>4409</v>
      </c>
      <c r="B138" s="291">
        <v>650</v>
      </c>
      <c r="C138" s="291" t="s">
        <v>233</v>
      </c>
      <c r="D138" s="291">
        <v>0</v>
      </c>
      <c r="E138" s="291">
        <v>0</v>
      </c>
      <c r="F138" s="291">
        <v>0</v>
      </c>
      <c r="G138" s="291">
        <v>0</v>
      </c>
      <c r="H138" s="291">
        <v>0</v>
      </c>
      <c r="I138" s="291">
        <v>0</v>
      </c>
      <c r="K138" s="291">
        <v>4409</v>
      </c>
      <c r="L138" s="291">
        <v>650</v>
      </c>
      <c r="M138" s="291" t="s">
        <v>233</v>
      </c>
      <c r="N138" s="291">
        <v>0</v>
      </c>
      <c r="O138" s="291">
        <v>0</v>
      </c>
      <c r="P138" s="291">
        <v>0</v>
      </c>
      <c r="Q138" s="291">
        <v>0</v>
      </c>
      <c r="R138" s="291">
        <v>0</v>
      </c>
      <c r="S138" s="291">
        <v>0</v>
      </c>
      <c r="U138" s="70"/>
      <c r="V138" s="47"/>
      <c r="W138" s="37"/>
    </row>
    <row r="139" spans="1:23" ht="14.25" customHeight="1">
      <c r="A139" s="291">
        <v>4543</v>
      </c>
      <c r="B139" s="291">
        <v>651</v>
      </c>
      <c r="C139" s="291" t="s">
        <v>525</v>
      </c>
      <c r="D139" s="291">
        <v>0</v>
      </c>
      <c r="E139" s="291">
        <v>0</v>
      </c>
      <c r="F139" s="291">
        <v>0</v>
      </c>
      <c r="G139" s="291">
        <v>0</v>
      </c>
      <c r="H139" s="291">
        <v>0</v>
      </c>
      <c r="I139" s="291">
        <v>0</v>
      </c>
      <c r="K139" s="291">
        <v>4543</v>
      </c>
      <c r="L139" s="291">
        <v>651</v>
      </c>
      <c r="M139" s="291" t="s">
        <v>525</v>
      </c>
      <c r="N139" s="291">
        <v>0</v>
      </c>
      <c r="O139" s="291">
        <v>0</v>
      </c>
      <c r="P139" s="291">
        <v>0</v>
      </c>
      <c r="Q139" s="291">
        <v>0</v>
      </c>
      <c r="R139" s="291">
        <v>0</v>
      </c>
      <c r="S139" s="291">
        <v>0</v>
      </c>
      <c r="U139" s="70"/>
      <c r="V139" s="47"/>
      <c r="W139" s="37"/>
    </row>
    <row r="140" spans="1:23" ht="14.25" customHeight="1">
      <c r="A140" s="291">
        <v>4590</v>
      </c>
      <c r="B140" s="291">
        <v>654</v>
      </c>
      <c r="C140" s="291" t="s">
        <v>700</v>
      </c>
      <c r="D140" s="291">
        <v>789570</v>
      </c>
      <c r="E140" s="291">
        <v>0</v>
      </c>
      <c r="F140" s="291">
        <v>0</v>
      </c>
      <c r="G140" s="291">
        <v>332064.65</v>
      </c>
      <c r="H140" s="291">
        <v>457505.35</v>
      </c>
      <c r="I140" s="291">
        <v>42.06</v>
      </c>
      <c r="K140" s="291">
        <v>4590</v>
      </c>
      <c r="L140" s="291">
        <v>654</v>
      </c>
      <c r="M140" s="291" t="s">
        <v>700</v>
      </c>
      <c r="N140" s="291">
        <v>789570</v>
      </c>
      <c r="O140" s="291">
        <v>0</v>
      </c>
      <c r="P140" s="291">
        <v>0</v>
      </c>
      <c r="Q140" s="291">
        <v>65181.84</v>
      </c>
      <c r="R140" s="291">
        <v>724388.16</v>
      </c>
      <c r="S140" s="291">
        <v>8.26</v>
      </c>
      <c r="U140" s="70"/>
      <c r="V140" s="47"/>
      <c r="W140" s="37"/>
    </row>
    <row r="141" spans="1:23" ht="14.25" customHeight="1">
      <c r="A141" s="291">
        <v>4566</v>
      </c>
      <c r="B141" s="291">
        <v>656</v>
      </c>
      <c r="C141" s="291" t="s">
        <v>614</v>
      </c>
      <c r="D141" s="291">
        <v>0</v>
      </c>
      <c r="E141" s="291">
        <v>0</v>
      </c>
      <c r="F141" s="291">
        <v>0</v>
      </c>
      <c r="G141" s="291">
        <v>0</v>
      </c>
      <c r="H141" s="291">
        <v>0</v>
      </c>
      <c r="I141" s="291">
        <v>0</v>
      </c>
      <c r="K141" s="291">
        <v>4566</v>
      </c>
      <c r="L141" s="291">
        <v>656</v>
      </c>
      <c r="M141" s="291" t="s">
        <v>614</v>
      </c>
      <c r="N141" s="291">
        <v>0</v>
      </c>
      <c r="O141" s="291">
        <v>0</v>
      </c>
      <c r="P141" s="291">
        <v>0</v>
      </c>
      <c r="Q141" s="291">
        <v>0</v>
      </c>
      <c r="R141" s="291">
        <v>0</v>
      </c>
      <c r="S141" s="291">
        <v>0</v>
      </c>
      <c r="U141" s="70"/>
      <c r="V141" s="47"/>
      <c r="W141" s="37"/>
    </row>
    <row r="142" spans="1:23" ht="14.25" customHeight="1">
      <c r="A142" s="291">
        <v>4490</v>
      </c>
      <c r="B142" s="291">
        <v>670</v>
      </c>
      <c r="C142" s="291" t="s">
        <v>569</v>
      </c>
      <c r="D142" s="291">
        <v>0</v>
      </c>
      <c r="E142" s="291">
        <v>0</v>
      </c>
      <c r="F142" s="291">
        <v>0</v>
      </c>
      <c r="G142" s="291">
        <v>0</v>
      </c>
      <c r="H142" s="291">
        <v>0</v>
      </c>
      <c r="I142" s="291">
        <v>0</v>
      </c>
      <c r="K142" s="291">
        <v>4490</v>
      </c>
      <c r="L142" s="291">
        <v>670</v>
      </c>
      <c r="M142" s="291" t="s">
        <v>569</v>
      </c>
      <c r="N142" s="291">
        <v>0</v>
      </c>
      <c r="O142" s="291">
        <v>0</v>
      </c>
      <c r="P142" s="291">
        <v>0</v>
      </c>
      <c r="Q142" s="291">
        <v>0</v>
      </c>
      <c r="R142" s="291">
        <v>0</v>
      </c>
      <c r="S142" s="291">
        <v>0</v>
      </c>
      <c r="U142" s="70"/>
      <c r="V142" s="47"/>
      <c r="W142" s="37"/>
    </row>
    <row r="143" spans="1:23" ht="14.25" customHeight="1">
      <c r="A143" s="291">
        <v>4559</v>
      </c>
      <c r="B143" s="291">
        <v>703</v>
      </c>
      <c r="C143" s="291" t="s">
        <v>599</v>
      </c>
      <c r="D143" s="291">
        <v>0</v>
      </c>
      <c r="E143" s="291">
        <v>0</v>
      </c>
      <c r="F143" s="291">
        <v>0</v>
      </c>
      <c r="G143" s="291">
        <v>0</v>
      </c>
      <c r="H143" s="291">
        <v>0</v>
      </c>
      <c r="I143" s="291">
        <v>0</v>
      </c>
      <c r="K143" s="291">
        <v>4559</v>
      </c>
      <c r="L143" s="291">
        <v>703</v>
      </c>
      <c r="M143" s="291" t="s">
        <v>599</v>
      </c>
      <c r="N143" s="291">
        <v>0</v>
      </c>
      <c r="O143" s="291">
        <v>0</v>
      </c>
      <c r="P143" s="291">
        <v>0</v>
      </c>
      <c r="Q143" s="291">
        <v>0</v>
      </c>
      <c r="R143" s="291">
        <v>0</v>
      </c>
      <c r="S143" s="291">
        <v>0</v>
      </c>
      <c r="U143" s="70"/>
      <c r="V143" s="47"/>
      <c r="W143" s="37"/>
    </row>
    <row r="144" spans="1:23" ht="14.25" customHeight="1">
      <c r="A144" s="291">
        <v>4493</v>
      </c>
      <c r="B144" s="291" t="s">
        <v>238</v>
      </c>
      <c r="C144" s="291" t="s">
        <v>239</v>
      </c>
      <c r="D144" s="291">
        <v>-60000</v>
      </c>
      <c r="E144" s="291">
        <v>0</v>
      </c>
      <c r="F144" s="291">
        <v>0</v>
      </c>
      <c r="G144" s="291">
        <v>-29425.2</v>
      </c>
      <c r="H144" s="291">
        <v>-30574.8</v>
      </c>
      <c r="I144" s="291">
        <v>49.04</v>
      </c>
      <c r="K144" s="291">
        <v>4493</v>
      </c>
      <c r="L144" s="291" t="s">
        <v>238</v>
      </c>
      <c r="M144" s="291" t="s">
        <v>239</v>
      </c>
      <c r="N144" s="291">
        <v>-60000</v>
      </c>
      <c r="O144" s="291">
        <v>0</v>
      </c>
      <c r="P144" s="291">
        <v>0</v>
      </c>
      <c r="Q144" s="291">
        <v>-18966.04</v>
      </c>
      <c r="R144" s="291">
        <v>-41033.96</v>
      </c>
      <c r="S144" s="291">
        <v>31.61</v>
      </c>
      <c r="U144" s="70"/>
      <c r="V144" s="47"/>
      <c r="W144" s="37"/>
    </row>
    <row r="145" spans="1:23" ht="14.25" customHeight="1">
      <c r="A145" s="291">
        <v>4494</v>
      </c>
      <c r="B145" s="291" t="s">
        <v>240</v>
      </c>
      <c r="C145" s="291" t="s">
        <v>241</v>
      </c>
      <c r="D145" s="291">
        <v>35000</v>
      </c>
      <c r="E145" s="291">
        <v>10826.8</v>
      </c>
      <c r="F145" s="291">
        <v>0</v>
      </c>
      <c r="G145" s="291">
        <v>24468.31</v>
      </c>
      <c r="H145" s="291">
        <v>-295.11</v>
      </c>
      <c r="I145" s="291">
        <v>100.84</v>
      </c>
      <c r="K145" s="291">
        <v>4494</v>
      </c>
      <c r="L145" s="291" t="s">
        <v>240</v>
      </c>
      <c r="M145" s="291" t="s">
        <v>241</v>
      </c>
      <c r="N145" s="291">
        <v>35000</v>
      </c>
      <c r="O145" s="291">
        <v>15021.6</v>
      </c>
      <c r="P145" s="291">
        <v>0</v>
      </c>
      <c r="Q145" s="291">
        <v>19926.69</v>
      </c>
      <c r="R145" s="291">
        <v>51.71</v>
      </c>
      <c r="S145" s="291">
        <v>99.85</v>
      </c>
      <c r="U145" s="70"/>
      <c r="V145" s="47"/>
      <c r="W145" s="37"/>
    </row>
    <row r="146" spans="1:23" ht="14.25" customHeight="1">
      <c r="A146" s="291">
        <v>4495</v>
      </c>
      <c r="B146" s="291" t="s">
        <v>242</v>
      </c>
      <c r="C146" s="291" t="s">
        <v>243</v>
      </c>
      <c r="D146" s="291">
        <v>90000</v>
      </c>
      <c r="E146" s="291">
        <v>0</v>
      </c>
      <c r="F146" s="291">
        <v>0</v>
      </c>
      <c r="G146" s="291">
        <v>0</v>
      </c>
      <c r="H146" s="291">
        <v>90000</v>
      </c>
      <c r="I146" s="291">
        <v>0</v>
      </c>
      <c r="K146" s="291">
        <v>4495</v>
      </c>
      <c r="L146" s="291" t="s">
        <v>242</v>
      </c>
      <c r="M146" s="291" t="s">
        <v>243</v>
      </c>
      <c r="N146" s="291">
        <v>90000</v>
      </c>
      <c r="O146" s="291">
        <v>0</v>
      </c>
      <c r="P146" s="291">
        <v>0</v>
      </c>
      <c r="Q146" s="291">
        <v>0</v>
      </c>
      <c r="R146" s="291">
        <v>90000</v>
      </c>
      <c r="S146" s="291">
        <v>0</v>
      </c>
      <c r="U146" s="70"/>
      <c r="V146" s="47"/>
      <c r="W146" s="37"/>
    </row>
    <row r="147" spans="1:23" ht="14.25" customHeight="1">
      <c r="A147" s="291">
        <v>4478</v>
      </c>
      <c r="B147" s="291" t="s">
        <v>244</v>
      </c>
      <c r="C147" s="291" t="s">
        <v>245</v>
      </c>
      <c r="D147" s="291">
        <v>0</v>
      </c>
      <c r="E147" s="291">
        <v>0</v>
      </c>
      <c r="F147" s="291">
        <v>0</v>
      </c>
      <c r="G147" s="291">
        <v>0</v>
      </c>
      <c r="H147" s="291">
        <v>0</v>
      </c>
      <c r="I147" s="291">
        <v>0</v>
      </c>
      <c r="K147" s="291">
        <v>4478</v>
      </c>
      <c r="L147" s="291" t="s">
        <v>244</v>
      </c>
      <c r="M147" s="291" t="s">
        <v>245</v>
      </c>
      <c r="N147" s="291">
        <v>0</v>
      </c>
      <c r="O147" s="291">
        <v>0</v>
      </c>
      <c r="P147" s="291">
        <v>0</v>
      </c>
      <c r="Q147" s="291">
        <v>0</v>
      </c>
      <c r="R147" s="291">
        <v>0</v>
      </c>
      <c r="S147" s="291">
        <v>0</v>
      </c>
      <c r="U147" s="70"/>
      <c r="V147" s="47"/>
      <c r="W147" s="37"/>
    </row>
    <row r="148" spans="1:23" ht="14.25" customHeight="1">
      <c r="A148" s="291">
        <v>4430</v>
      </c>
      <c r="B148" s="291" t="s">
        <v>248</v>
      </c>
      <c r="C148" s="291" t="s">
        <v>249</v>
      </c>
      <c r="D148" s="291">
        <v>0</v>
      </c>
      <c r="E148" s="291">
        <v>0</v>
      </c>
      <c r="F148" s="291">
        <v>0</v>
      </c>
      <c r="G148" s="291">
        <v>-546.37</v>
      </c>
      <c r="H148" s="291">
        <v>546.37</v>
      </c>
      <c r="I148" s="291">
        <v>0</v>
      </c>
      <c r="K148" s="291">
        <v>4430</v>
      </c>
      <c r="L148" s="291" t="s">
        <v>248</v>
      </c>
      <c r="M148" s="291" t="s">
        <v>249</v>
      </c>
      <c r="N148" s="291">
        <v>0</v>
      </c>
      <c r="O148" s="291">
        <v>0</v>
      </c>
      <c r="P148" s="291">
        <v>0</v>
      </c>
      <c r="Q148" s="291">
        <v>-825.53</v>
      </c>
      <c r="R148" s="291">
        <v>825.53</v>
      </c>
      <c r="S148" s="291">
        <v>0</v>
      </c>
      <c r="U148" s="70"/>
      <c r="V148" s="47"/>
      <c r="W148" s="37"/>
    </row>
    <row r="149" spans="1:23" ht="14.25" customHeight="1">
      <c r="A149" s="291">
        <v>4432</v>
      </c>
      <c r="B149" s="291" t="s">
        <v>250</v>
      </c>
      <c r="C149" s="291" t="s">
        <v>251</v>
      </c>
      <c r="D149" s="291">
        <v>0</v>
      </c>
      <c r="E149" s="291">
        <v>0</v>
      </c>
      <c r="F149" s="291">
        <v>0</v>
      </c>
      <c r="G149" s="291">
        <v>-335.18</v>
      </c>
      <c r="H149" s="291">
        <v>335.18</v>
      </c>
      <c r="I149" s="291">
        <v>0</v>
      </c>
      <c r="K149" s="291">
        <v>4432</v>
      </c>
      <c r="L149" s="291" t="s">
        <v>250</v>
      </c>
      <c r="M149" s="291" t="s">
        <v>251</v>
      </c>
      <c r="N149" s="291">
        <v>0</v>
      </c>
      <c r="O149" s="291">
        <v>0</v>
      </c>
      <c r="P149" s="291">
        <v>0</v>
      </c>
      <c r="Q149" s="291">
        <v>-311.84</v>
      </c>
      <c r="R149" s="291">
        <v>311.84</v>
      </c>
      <c r="S149" s="291">
        <v>0</v>
      </c>
      <c r="U149" s="70"/>
      <c r="V149" s="47"/>
      <c r="W149" s="37"/>
    </row>
    <row r="150" spans="1:23" ht="14.25" customHeight="1">
      <c r="A150" s="291">
        <v>4488</v>
      </c>
      <c r="B150" s="291" t="s">
        <v>252</v>
      </c>
      <c r="C150" s="291" t="s">
        <v>253</v>
      </c>
      <c r="D150" s="291">
        <v>0</v>
      </c>
      <c r="E150" s="291">
        <v>0</v>
      </c>
      <c r="F150" s="291">
        <v>0</v>
      </c>
      <c r="G150" s="291">
        <v>0</v>
      </c>
      <c r="H150" s="291">
        <v>0</v>
      </c>
      <c r="I150" s="291">
        <v>0</v>
      </c>
      <c r="K150" s="291">
        <v>4488</v>
      </c>
      <c r="L150" s="291" t="s">
        <v>252</v>
      </c>
      <c r="M150" s="291" t="s">
        <v>253</v>
      </c>
      <c r="N150" s="291">
        <v>0</v>
      </c>
      <c r="O150" s="291">
        <v>0</v>
      </c>
      <c r="P150" s="291">
        <v>0</v>
      </c>
      <c r="Q150" s="291">
        <v>0</v>
      </c>
      <c r="R150" s="291">
        <v>0</v>
      </c>
      <c r="S150" s="291">
        <v>0</v>
      </c>
      <c r="U150" s="70"/>
      <c r="V150" s="47"/>
      <c r="W150" s="37"/>
    </row>
    <row r="151" spans="1:23" ht="14.25" customHeight="1">
      <c r="A151" s="291">
        <v>4476</v>
      </c>
      <c r="B151" s="291" t="s">
        <v>254</v>
      </c>
      <c r="C151" s="291" t="s">
        <v>255</v>
      </c>
      <c r="D151" s="291">
        <v>0</v>
      </c>
      <c r="E151" s="291">
        <v>0</v>
      </c>
      <c r="F151" s="291">
        <v>0</v>
      </c>
      <c r="G151" s="291">
        <v>0</v>
      </c>
      <c r="H151" s="291">
        <v>0</v>
      </c>
      <c r="I151" s="291">
        <v>0</v>
      </c>
      <c r="K151" s="291">
        <v>4476</v>
      </c>
      <c r="L151" s="291" t="s">
        <v>254</v>
      </c>
      <c r="M151" s="291" t="s">
        <v>255</v>
      </c>
      <c r="N151" s="291">
        <v>0</v>
      </c>
      <c r="O151" s="291">
        <v>0</v>
      </c>
      <c r="P151" s="291">
        <v>0</v>
      </c>
      <c r="Q151" s="291">
        <v>0</v>
      </c>
      <c r="R151" s="291">
        <v>0</v>
      </c>
      <c r="S151" s="291">
        <v>0</v>
      </c>
      <c r="U151" s="70"/>
      <c r="V151" s="47"/>
      <c r="W151" s="37"/>
    </row>
    <row r="152" spans="1:23" ht="14.25" customHeight="1">
      <c r="A152" s="291">
        <v>4477</v>
      </c>
      <c r="B152" s="291" t="s">
        <v>256</v>
      </c>
      <c r="C152" s="291" t="s">
        <v>257</v>
      </c>
      <c r="D152" s="291">
        <v>0</v>
      </c>
      <c r="E152" s="291">
        <v>0</v>
      </c>
      <c r="F152" s="291">
        <v>0</v>
      </c>
      <c r="G152" s="291">
        <v>0</v>
      </c>
      <c r="H152" s="291">
        <v>0</v>
      </c>
      <c r="I152" s="291">
        <v>0</v>
      </c>
      <c r="K152" s="291">
        <v>4477</v>
      </c>
      <c r="L152" s="291" t="s">
        <v>256</v>
      </c>
      <c r="M152" s="291" t="s">
        <v>257</v>
      </c>
      <c r="N152" s="291">
        <v>0</v>
      </c>
      <c r="O152" s="291">
        <v>0</v>
      </c>
      <c r="P152" s="291">
        <v>0</v>
      </c>
      <c r="Q152" s="291">
        <v>0</v>
      </c>
      <c r="R152" s="291">
        <v>0</v>
      </c>
      <c r="S152" s="291">
        <v>0</v>
      </c>
      <c r="U152" s="58"/>
      <c r="V152" s="47"/>
      <c r="W152" s="37"/>
    </row>
    <row r="153" spans="1:23" ht="14.25" customHeight="1">
      <c r="A153" s="291">
        <v>4438</v>
      </c>
      <c r="B153" s="291" t="s">
        <v>262</v>
      </c>
      <c r="C153" s="291" t="s">
        <v>263</v>
      </c>
      <c r="D153" s="291">
        <v>0</v>
      </c>
      <c r="E153" s="291">
        <v>0</v>
      </c>
      <c r="F153" s="291">
        <v>0</v>
      </c>
      <c r="G153" s="291">
        <v>0</v>
      </c>
      <c r="H153" s="291">
        <v>0</v>
      </c>
      <c r="I153" s="291">
        <v>0</v>
      </c>
      <c r="K153" s="291">
        <v>4438</v>
      </c>
      <c r="L153" s="291" t="s">
        <v>262</v>
      </c>
      <c r="M153" s="291" t="s">
        <v>263</v>
      </c>
      <c r="N153" s="291">
        <v>0</v>
      </c>
      <c r="O153" s="291">
        <v>0</v>
      </c>
      <c r="P153" s="291">
        <v>0</v>
      </c>
      <c r="Q153" s="291">
        <v>0</v>
      </c>
      <c r="R153" s="291">
        <v>0</v>
      </c>
      <c r="S153" s="291">
        <v>0</v>
      </c>
      <c r="U153" s="58"/>
      <c r="V153" s="47"/>
      <c r="W153" s="37"/>
    </row>
    <row r="154" spans="1:23" ht="14.25" customHeight="1">
      <c r="A154" s="291">
        <v>4439</v>
      </c>
      <c r="B154" s="291" t="s">
        <v>264</v>
      </c>
      <c r="C154" s="291" t="s">
        <v>583</v>
      </c>
      <c r="D154" s="291">
        <v>0</v>
      </c>
      <c r="E154" s="291">
        <v>0</v>
      </c>
      <c r="F154" s="291">
        <v>0</v>
      </c>
      <c r="G154" s="291">
        <v>0</v>
      </c>
      <c r="H154" s="291">
        <v>0</v>
      </c>
      <c r="I154" s="291">
        <v>0</v>
      </c>
      <c r="K154" s="291">
        <v>4439</v>
      </c>
      <c r="L154" s="291" t="s">
        <v>264</v>
      </c>
      <c r="M154" s="291" t="s">
        <v>583</v>
      </c>
      <c r="N154" s="291">
        <v>0</v>
      </c>
      <c r="O154" s="291">
        <v>0</v>
      </c>
      <c r="P154" s="291">
        <v>0</v>
      </c>
      <c r="Q154" s="291">
        <v>0</v>
      </c>
      <c r="R154" s="291">
        <v>0</v>
      </c>
      <c r="S154" s="291">
        <v>0</v>
      </c>
      <c r="U154" s="58"/>
      <c r="V154" s="47"/>
      <c r="W154" s="37"/>
    </row>
    <row r="155" spans="1:23" ht="14.25" customHeight="1">
      <c r="A155" s="291">
        <v>4440</v>
      </c>
      <c r="B155" s="291" t="s">
        <v>266</v>
      </c>
      <c r="C155" s="291" t="s">
        <v>267</v>
      </c>
      <c r="D155" s="291">
        <v>0</v>
      </c>
      <c r="E155" s="291">
        <v>0</v>
      </c>
      <c r="F155" s="291">
        <v>0</v>
      </c>
      <c r="G155" s="291">
        <v>0</v>
      </c>
      <c r="H155" s="291">
        <v>0</v>
      </c>
      <c r="I155" s="291">
        <v>0</v>
      </c>
      <c r="K155" s="291">
        <v>4440</v>
      </c>
      <c r="L155" s="291" t="s">
        <v>266</v>
      </c>
      <c r="M155" s="291" t="s">
        <v>267</v>
      </c>
      <c r="N155" s="291">
        <v>0</v>
      </c>
      <c r="O155" s="291">
        <v>0</v>
      </c>
      <c r="P155" s="291">
        <v>0</v>
      </c>
      <c r="Q155" s="291">
        <v>0</v>
      </c>
      <c r="R155" s="291">
        <v>0</v>
      </c>
      <c r="S155" s="291">
        <v>0</v>
      </c>
      <c r="U155" s="58"/>
      <c r="V155" s="47"/>
      <c r="W155" s="37"/>
    </row>
    <row r="156" spans="1:23" ht="14.25" customHeight="1">
      <c r="A156" s="291">
        <v>4441</v>
      </c>
      <c r="B156" s="291" t="s">
        <v>268</v>
      </c>
      <c r="C156" s="291" t="s">
        <v>269</v>
      </c>
      <c r="D156" s="291">
        <v>0</v>
      </c>
      <c r="E156" s="291">
        <v>0</v>
      </c>
      <c r="F156" s="291">
        <v>0</v>
      </c>
      <c r="G156" s="291">
        <v>0</v>
      </c>
      <c r="H156" s="291">
        <v>0</v>
      </c>
      <c r="I156" s="291">
        <v>0</v>
      </c>
      <c r="K156" s="291">
        <v>4441</v>
      </c>
      <c r="L156" s="291" t="s">
        <v>268</v>
      </c>
      <c r="M156" s="291" t="s">
        <v>269</v>
      </c>
      <c r="N156" s="291">
        <v>0</v>
      </c>
      <c r="O156" s="291">
        <v>0</v>
      </c>
      <c r="P156" s="291">
        <v>0</v>
      </c>
      <c r="Q156" s="291">
        <v>0</v>
      </c>
      <c r="R156" s="291">
        <v>0</v>
      </c>
      <c r="S156" s="291">
        <v>0</v>
      </c>
      <c r="U156" s="70"/>
      <c r="V156" s="47"/>
      <c r="W156" s="37"/>
    </row>
    <row r="157" spans="1:23" ht="14.25" customHeight="1">
      <c r="A157" s="291">
        <v>4489</v>
      </c>
      <c r="B157" s="291" t="s">
        <v>270</v>
      </c>
      <c r="C157" s="291" t="s">
        <v>271</v>
      </c>
      <c r="D157" s="291">
        <v>0</v>
      </c>
      <c r="E157" s="291">
        <v>0</v>
      </c>
      <c r="F157" s="291">
        <v>0</v>
      </c>
      <c r="G157" s="291">
        <v>0</v>
      </c>
      <c r="H157" s="291">
        <v>0</v>
      </c>
      <c r="I157" s="291">
        <v>0</v>
      </c>
      <c r="K157" s="291">
        <v>4489</v>
      </c>
      <c r="L157" s="291" t="s">
        <v>270</v>
      </c>
      <c r="M157" s="291" t="s">
        <v>271</v>
      </c>
      <c r="N157" s="291">
        <v>0</v>
      </c>
      <c r="O157" s="291">
        <v>0</v>
      </c>
      <c r="P157" s="291">
        <v>0</v>
      </c>
      <c r="Q157" s="291">
        <v>0</v>
      </c>
      <c r="R157" s="291">
        <v>0</v>
      </c>
      <c r="S157" s="291">
        <v>0</v>
      </c>
      <c r="U157" s="70"/>
      <c r="V157" s="47"/>
      <c r="W157" s="37"/>
    </row>
    <row r="158" spans="1:23" ht="14.25" customHeight="1">
      <c r="A158" s="291">
        <v>4508</v>
      </c>
      <c r="B158" s="291" t="s">
        <v>278</v>
      </c>
      <c r="C158" s="291" t="s">
        <v>279</v>
      </c>
      <c r="D158" s="291">
        <v>2000</v>
      </c>
      <c r="E158" s="291">
        <v>0</v>
      </c>
      <c r="F158" s="291">
        <v>0</v>
      </c>
      <c r="G158" s="291">
        <v>1503.41</v>
      </c>
      <c r="H158" s="291">
        <v>496.59</v>
      </c>
      <c r="I158" s="291">
        <v>75.17</v>
      </c>
      <c r="K158" s="291">
        <v>4508</v>
      </c>
      <c r="L158" s="291" t="s">
        <v>278</v>
      </c>
      <c r="M158" s="291" t="s">
        <v>279</v>
      </c>
      <c r="N158" s="291">
        <v>2000</v>
      </c>
      <c r="O158" s="291">
        <v>0</v>
      </c>
      <c r="P158" s="291">
        <v>0</v>
      </c>
      <c r="Q158" s="291">
        <v>268.62</v>
      </c>
      <c r="R158" s="291">
        <v>1731.38</v>
      </c>
      <c r="S158" s="291">
        <v>13.43</v>
      </c>
      <c r="U158" s="70"/>
      <c r="V158" s="47"/>
      <c r="W158" s="37"/>
    </row>
    <row r="159" spans="1:23" ht="14.25" customHeight="1">
      <c r="A159" s="291">
        <v>4503</v>
      </c>
      <c r="B159" s="291" t="s">
        <v>282</v>
      </c>
      <c r="C159" s="291" t="s">
        <v>283</v>
      </c>
      <c r="D159" s="291">
        <v>0</v>
      </c>
      <c r="E159" s="291">
        <v>0</v>
      </c>
      <c r="F159" s="291">
        <v>0</v>
      </c>
      <c r="G159" s="291">
        <v>0</v>
      </c>
      <c r="H159" s="291">
        <v>0</v>
      </c>
      <c r="I159" s="291">
        <v>0</v>
      </c>
      <c r="K159" s="291">
        <v>4503</v>
      </c>
      <c r="L159" s="291" t="s">
        <v>282</v>
      </c>
      <c r="M159" s="291" t="s">
        <v>283</v>
      </c>
      <c r="N159" s="291">
        <v>0</v>
      </c>
      <c r="O159" s="291">
        <v>0</v>
      </c>
      <c r="P159" s="291">
        <v>0</v>
      </c>
      <c r="Q159" s="291">
        <v>0</v>
      </c>
      <c r="R159" s="291">
        <v>0</v>
      </c>
      <c r="S159" s="291">
        <v>0</v>
      </c>
      <c r="U159" s="70"/>
      <c r="V159" s="47"/>
      <c r="W159" s="37"/>
    </row>
    <row r="160" spans="1:23" ht="14.25" customHeight="1">
      <c r="A160" s="291">
        <v>4497</v>
      </c>
      <c r="B160" s="291" t="s">
        <v>284</v>
      </c>
      <c r="C160" s="291" t="s">
        <v>701</v>
      </c>
      <c r="D160" s="291">
        <v>4500</v>
      </c>
      <c r="E160" s="291">
        <v>360</v>
      </c>
      <c r="F160" s="291">
        <v>0</v>
      </c>
      <c r="G160" s="291">
        <v>-1406.1</v>
      </c>
      <c r="H160" s="291">
        <v>5546.1</v>
      </c>
      <c r="I160" s="291">
        <v>-23.25</v>
      </c>
      <c r="K160" s="291">
        <v>4497</v>
      </c>
      <c r="L160" s="291" t="s">
        <v>284</v>
      </c>
      <c r="M160" s="291" t="s">
        <v>701</v>
      </c>
      <c r="N160" s="291">
        <v>4500</v>
      </c>
      <c r="O160" s="291">
        <v>15.5</v>
      </c>
      <c r="P160" s="291">
        <v>0</v>
      </c>
      <c r="Q160" s="291">
        <v>-1477.01</v>
      </c>
      <c r="R160" s="291">
        <v>5961.51</v>
      </c>
      <c r="S160" s="291">
        <v>-32.48</v>
      </c>
      <c r="U160" s="70"/>
      <c r="V160" s="47"/>
      <c r="W160" s="37"/>
    </row>
    <row r="161" spans="1:23" ht="14.25" customHeight="1">
      <c r="A161" s="291">
        <v>4526</v>
      </c>
      <c r="B161" s="291" t="s">
        <v>286</v>
      </c>
      <c r="C161" s="291" t="s">
        <v>702</v>
      </c>
      <c r="D161" s="291">
        <v>-13800</v>
      </c>
      <c r="E161" s="291">
        <v>0</v>
      </c>
      <c r="F161" s="291">
        <v>0</v>
      </c>
      <c r="G161" s="291">
        <v>-13883</v>
      </c>
      <c r="H161" s="291">
        <v>83</v>
      </c>
      <c r="I161" s="291">
        <v>100.6</v>
      </c>
      <c r="K161" s="291">
        <v>4526</v>
      </c>
      <c r="L161" s="291" t="s">
        <v>286</v>
      </c>
      <c r="M161" s="291" t="s">
        <v>702</v>
      </c>
      <c r="N161" s="291">
        <v>-13800</v>
      </c>
      <c r="O161" s="291">
        <v>0</v>
      </c>
      <c r="P161" s="291">
        <v>0</v>
      </c>
      <c r="Q161" s="291">
        <v>-13883</v>
      </c>
      <c r="R161" s="291">
        <v>83</v>
      </c>
      <c r="S161" s="291">
        <v>100.6</v>
      </c>
      <c r="U161" s="70"/>
      <c r="V161" s="47"/>
      <c r="W161" s="37"/>
    </row>
    <row r="162" spans="1:23" ht="14.25" customHeight="1">
      <c r="A162" s="291">
        <v>4502</v>
      </c>
      <c r="B162" s="291" t="s">
        <v>288</v>
      </c>
      <c r="C162" s="291" t="s">
        <v>289</v>
      </c>
      <c r="D162" s="291">
        <v>1133</v>
      </c>
      <c r="E162" s="291">
        <v>0</v>
      </c>
      <c r="F162" s="291">
        <v>0</v>
      </c>
      <c r="G162" s="291">
        <v>0</v>
      </c>
      <c r="H162" s="291">
        <v>1133</v>
      </c>
      <c r="I162" s="291">
        <v>0</v>
      </c>
      <c r="K162" s="291">
        <v>4502</v>
      </c>
      <c r="L162" s="291" t="s">
        <v>288</v>
      </c>
      <c r="M162" s="291" t="s">
        <v>289</v>
      </c>
      <c r="N162" s="291">
        <v>1133</v>
      </c>
      <c r="O162" s="291">
        <v>0</v>
      </c>
      <c r="P162" s="291">
        <v>0</v>
      </c>
      <c r="Q162" s="291">
        <v>0</v>
      </c>
      <c r="R162" s="291">
        <v>1133</v>
      </c>
      <c r="S162" s="291">
        <v>0</v>
      </c>
      <c r="U162" s="70"/>
      <c r="V162" s="47"/>
      <c r="W162" s="37"/>
    </row>
    <row r="163" spans="1:23" ht="14.25" customHeight="1">
      <c r="A163" s="291">
        <v>4525</v>
      </c>
      <c r="B163" s="291" t="s">
        <v>290</v>
      </c>
      <c r="C163" s="291" t="s">
        <v>643</v>
      </c>
      <c r="D163" s="291">
        <v>0</v>
      </c>
      <c r="E163" s="291">
        <v>0</v>
      </c>
      <c r="F163" s="291">
        <v>0</v>
      </c>
      <c r="G163" s="291">
        <v>0</v>
      </c>
      <c r="H163" s="291">
        <v>0</v>
      </c>
      <c r="I163" s="291">
        <v>0</v>
      </c>
      <c r="K163" s="291">
        <v>4525</v>
      </c>
      <c r="L163" s="291" t="s">
        <v>290</v>
      </c>
      <c r="M163" s="291" t="s">
        <v>643</v>
      </c>
      <c r="N163" s="291">
        <v>0</v>
      </c>
      <c r="O163" s="291">
        <v>0</v>
      </c>
      <c r="P163" s="291">
        <v>0</v>
      </c>
      <c r="Q163" s="291">
        <v>0</v>
      </c>
      <c r="R163" s="291">
        <v>0</v>
      </c>
      <c r="S163" s="291">
        <v>0</v>
      </c>
      <c r="U163" s="70"/>
      <c r="V163" s="47"/>
      <c r="W163" s="37"/>
    </row>
    <row r="164" spans="1:23" ht="14.25" customHeight="1">
      <c r="A164" s="291">
        <v>4539</v>
      </c>
      <c r="B164" s="291" t="s">
        <v>292</v>
      </c>
      <c r="C164" s="291" t="s">
        <v>293</v>
      </c>
      <c r="D164" s="291">
        <v>0</v>
      </c>
      <c r="E164" s="291">
        <v>0</v>
      </c>
      <c r="F164" s="291">
        <v>0</v>
      </c>
      <c r="G164" s="291">
        <v>0</v>
      </c>
      <c r="H164" s="291">
        <v>0</v>
      </c>
      <c r="I164" s="291">
        <v>0</v>
      </c>
      <c r="K164" s="291">
        <v>4539</v>
      </c>
      <c r="L164" s="291" t="s">
        <v>292</v>
      </c>
      <c r="M164" s="291" t="s">
        <v>293</v>
      </c>
      <c r="N164" s="291">
        <v>0</v>
      </c>
      <c r="O164" s="291">
        <v>0</v>
      </c>
      <c r="P164" s="291">
        <v>0</v>
      </c>
      <c r="Q164" s="291">
        <v>0</v>
      </c>
      <c r="R164" s="291">
        <v>0</v>
      </c>
      <c r="S164" s="291">
        <v>0</v>
      </c>
      <c r="U164" s="70"/>
      <c r="V164" s="47"/>
      <c r="W164" s="37">
        <v>0</v>
      </c>
    </row>
    <row r="165" spans="1:23" ht="14.25" customHeight="1">
      <c r="A165" s="291">
        <v>4555</v>
      </c>
      <c r="B165" s="291" t="s">
        <v>584</v>
      </c>
      <c r="C165" s="291" t="s">
        <v>585</v>
      </c>
      <c r="D165" s="291">
        <v>0</v>
      </c>
      <c r="E165" s="291">
        <v>0</v>
      </c>
      <c r="F165" s="291">
        <v>0</v>
      </c>
      <c r="G165" s="291">
        <v>0</v>
      </c>
      <c r="H165" s="291">
        <v>0</v>
      </c>
      <c r="I165" s="291">
        <v>0</v>
      </c>
      <c r="K165" s="291">
        <v>4555</v>
      </c>
      <c r="L165" s="291" t="s">
        <v>584</v>
      </c>
      <c r="M165" s="291" t="s">
        <v>585</v>
      </c>
      <c r="N165" s="291">
        <v>0</v>
      </c>
      <c r="O165" s="291">
        <v>0</v>
      </c>
      <c r="P165" s="291">
        <v>0</v>
      </c>
      <c r="Q165" s="291">
        <v>0</v>
      </c>
      <c r="R165" s="291">
        <v>0</v>
      </c>
      <c r="S165" s="291">
        <v>0</v>
      </c>
      <c r="U165" s="70"/>
      <c r="V165" s="47"/>
      <c r="W165" s="37">
        <v>0</v>
      </c>
    </row>
    <row r="166" spans="1:23" ht="14.25" customHeight="1">
      <c r="A166" s="291">
        <v>4556</v>
      </c>
      <c r="B166" s="291" t="s">
        <v>586</v>
      </c>
      <c r="C166" s="291" t="s">
        <v>587</v>
      </c>
      <c r="D166" s="291">
        <v>0</v>
      </c>
      <c r="E166" s="291">
        <v>0</v>
      </c>
      <c r="F166" s="291">
        <v>0</v>
      </c>
      <c r="G166" s="291">
        <v>0</v>
      </c>
      <c r="H166" s="291">
        <v>0</v>
      </c>
      <c r="I166" s="291">
        <v>0</v>
      </c>
      <c r="K166" s="291">
        <v>4556</v>
      </c>
      <c r="L166" s="291" t="s">
        <v>586</v>
      </c>
      <c r="M166" s="291" t="s">
        <v>587</v>
      </c>
      <c r="N166" s="291">
        <v>0</v>
      </c>
      <c r="O166" s="291">
        <v>0</v>
      </c>
      <c r="P166" s="291">
        <v>0</v>
      </c>
      <c r="Q166" s="291">
        <v>0</v>
      </c>
      <c r="R166" s="291">
        <v>0</v>
      </c>
      <c r="S166" s="291">
        <v>0</v>
      </c>
      <c r="U166" s="70"/>
      <c r="V166" s="47"/>
      <c r="W166" s="37">
        <v>0</v>
      </c>
    </row>
    <row r="167" spans="1:23" ht="14.25" customHeight="1">
      <c r="A167" s="291">
        <v>4560</v>
      </c>
      <c r="B167" s="291" t="s">
        <v>600</v>
      </c>
      <c r="C167" s="291" t="s">
        <v>601</v>
      </c>
      <c r="D167" s="291">
        <v>0</v>
      </c>
      <c r="E167" s="291">
        <v>0</v>
      </c>
      <c r="F167" s="291">
        <v>0</v>
      </c>
      <c r="G167" s="291">
        <v>0</v>
      </c>
      <c r="H167" s="291">
        <v>0</v>
      </c>
      <c r="I167" s="291">
        <v>0</v>
      </c>
      <c r="K167" s="291">
        <v>4560</v>
      </c>
      <c r="L167" s="291" t="s">
        <v>600</v>
      </c>
      <c r="M167" s="291" t="s">
        <v>601</v>
      </c>
      <c r="N167" s="291">
        <v>0</v>
      </c>
      <c r="O167" s="291">
        <v>0</v>
      </c>
      <c r="P167" s="291">
        <v>0</v>
      </c>
      <c r="Q167" s="291">
        <v>700</v>
      </c>
      <c r="R167" s="291">
        <v>-700</v>
      </c>
      <c r="S167" s="291">
        <v>0</v>
      </c>
      <c r="U167" s="70"/>
      <c r="V167" s="47"/>
      <c r="W167" s="37">
        <v>0</v>
      </c>
    </row>
    <row r="168" spans="1:23" ht="14.25" customHeight="1">
      <c r="A168" s="291">
        <v>4554</v>
      </c>
      <c r="B168" s="291" t="s">
        <v>588</v>
      </c>
      <c r="C168" s="291" t="s">
        <v>759</v>
      </c>
      <c r="D168" s="291">
        <v>0</v>
      </c>
      <c r="E168" s="291">
        <v>0</v>
      </c>
      <c r="F168" s="291">
        <v>0</v>
      </c>
      <c r="G168" s="291">
        <v>-205.34</v>
      </c>
      <c r="H168" s="291">
        <v>205.34</v>
      </c>
      <c r="I168" s="291">
        <v>0</v>
      </c>
      <c r="K168" s="291">
        <v>4554</v>
      </c>
      <c r="L168" s="291" t="s">
        <v>588</v>
      </c>
      <c r="M168" s="291" t="s">
        <v>703</v>
      </c>
      <c r="N168" s="291">
        <v>0</v>
      </c>
      <c r="O168" s="291">
        <v>0</v>
      </c>
      <c r="P168" s="291">
        <v>0</v>
      </c>
      <c r="Q168" s="291">
        <v>0</v>
      </c>
      <c r="R168" s="291">
        <v>0</v>
      </c>
      <c r="S168" s="291">
        <v>0</v>
      </c>
      <c r="U168" s="70"/>
      <c r="V168" s="47"/>
      <c r="W168" s="37">
        <v>0</v>
      </c>
    </row>
    <row r="169" spans="1:23" ht="14.25" customHeight="1">
      <c r="A169" s="291">
        <v>4553</v>
      </c>
      <c r="B169" s="291" t="s">
        <v>590</v>
      </c>
      <c r="C169" s="291" t="s">
        <v>704</v>
      </c>
      <c r="D169" s="291">
        <v>0</v>
      </c>
      <c r="E169" s="291">
        <v>0</v>
      </c>
      <c r="F169" s="291">
        <v>0</v>
      </c>
      <c r="G169" s="291">
        <v>0</v>
      </c>
      <c r="H169" s="291">
        <v>0</v>
      </c>
      <c r="I169" s="291">
        <v>0</v>
      </c>
      <c r="K169" s="291">
        <v>4553</v>
      </c>
      <c r="L169" s="291" t="s">
        <v>590</v>
      </c>
      <c r="M169" s="291" t="s">
        <v>704</v>
      </c>
      <c r="N169" s="291">
        <v>0</v>
      </c>
      <c r="O169" s="291">
        <v>0</v>
      </c>
      <c r="P169" s="291">
        <v>0</v>
      </c>
      <c r="Q169" s="291">
        <v>0</v>
      </c>
      <c r="R169" s="291">
        <v>0</v>
      </c>
      <c r="S169" s="291">
        <v>0</v>
      </c>
      <c r="U169" s="70"/>
      <c r="V169" s="47"/>
      <c r="W169" s="37">
        <v>0</v>
      </c>
    </row>
    <row r="170" spans="1:23" ht="14.25" customHeight="1">
      <c r="A170" s="291">
        <v>4552</v>
      </c>
      <c r="B170" s="291" t="s">
        <v>570</v>
      </c>
      <c r="C170" s="291" t="s">
        <v>571</v>
      </c>
      <c r="D170" s="291">
        <v>0</v>
      </c>
      <c r="E170" s="291">
        <v>0</v>
      </c>
      <c r="F170" s="291">
        <v>0</v>
      </c>
      <c r="G170" s="291">
        <v>-2620.79</v>
      </c>
      <c r="H170" s="291">
        <v>2620.79</v>
      </c>
      <c r="I170" s="291">
        <v>0</v>
      </c>
      <c r="K170" s="291">
        <v>4552</v>
      </c>
      <c r="L170" s="291" t="s">
        <v>570</v>
      </c>
      <c r="M170" s="291" t="s">
        <v>571</v>
      </c>
      <c r="N170" s="291">
        <v>0</v>
      </c>
      <c r="O170" s="291">
        <v>0</v>
      </c>
      <c r="P170" s="291">
        <v>0</v>
      </c>
      <c r="Q170" s="291">
        <v>-2700.89</v>
      </c>
      <c r="R170" s="291">
        <v>2700.89</v>
      </c>
      <c r="S170" s="291">
        <v>0</v>
      </c>
      <c r="U170" s="70"/>
      <c r="V170" s="47"/>
      <c r="W170" s="37">
        <v>0</v>
      </c>
    </row>
    <row r="171" spans="1:23" ht="14.25" customHeight="1">
      <c r="A171" s="291">
        <v>4506</v>
      </c>
      <c r="B171" s="291" t="s">
        <v>296</v>
      </c>
      <c r="C171" s="291" t="s">
        <v>705</v>
      </c>
      <c r="D171" s="291">
        <v>0</v>
      </c>
      <c r="E171" s="291">
        <v>0</v>
      </c>
      <c r="F171" s="291">
        <v>0</v>
      </c>
      <c r="G171" s="291">
        <v>-1658.82</v>
      </c>
      <c r="H171" s="291">
        <v>1658.82</v>
      </c>
      <c r="I171" s="291">
        <v>0</v>
      </c>
      <c r="K171" s="291">
        <v>4506</v>
      </c>
      <c r="L171" s="291" t="s">
        <v>296</v>
      </c>
      <c r="M171" s="291" t="s">
        <v>705</v>
      </c>
      <c r="N171" s="291">
        <v>0</v>
      </c>
      <c r="O171" s="291">
        <v>0</v>
      </c>
      <c r="P171" s="291">
        <v>0</v>
      </c>
      <c r="Q171" s="291">
        <v>-1569.12</v>
      </c>
      <c r="R171" s="291">
        <v>1569.12</v>
      </c>
      <c r="S171" s="291">
        <v>0</v>
      </c>
      <c r="U171" s="70"/>
      <c r="V171" s="47"/>
      <c r="W171" s="37">
        <v>0</v>
      </c>
    </row>
    <row r="172" spans="1:23" ht="14.25" customHeight="1">
      <c r="A172" s="291">
        <v>4509</v>
      </c>
      <c r="B172" s="291" t="s">
        <v>298</v>
      </c>
      <c r="C172" s="291" t="s">
        <v>706</v>
      </c>
      <c r="D172" s="291">
        <v>0</v>
      </c>
      <c r="E172" s="291">
        <v>0</v>
      </c>
      <c r="F172" s="291">
        <v>0</v>
      </c>
      <c r="G172" s="291">
        <v>0</v>
      </c>
      <c r="H172" s="291">
        <v>0</v>
      </c>
      <c r="I172" s="291">
        <v>0</v>
      </c>
      <c r="K172" s="291">
        <v>4509</v>
      </c>
      <c r="L172" s="291" t="s">
        <v>298</v>
      </c>
      <c r="M172" s="291" t="s">
        <v>706</v>
      </c>
      <c r="N172" s="291">
        <v>0</v>
      </c>
      <c r="O172" s="291">
        <v>0</v>
      </c>
      <c r="P172" s="291">
        <v>0</v>
      </c>
      <c r="Q172" s="291">
        <v>0</v>
      </c>
      <c r="R172" s="291">
        <v>0</v>
      </c>
      <c r="S172" s="291">
        <v>0</v>
      </c>
      <c r="U172" s="70"/>
      <c r="V172" s="47"/>
      <c r="W172" s="37">
        <v>0</v>
      </c>
    </row>
    <row r="173" spans="1:23" ht="14.25" customHeight="1">
      <c r="A173" s="291">
        <v>4561</v>
      </c>
      <c r="B173" s="291" t="s">
        <v>602</v>
      </c>
      <c r="C173" s="291" t="s">
        <v>760</v>
      </c>
      <c r="D173" s="291">
        <v>0</v>
      </c>
      <c r="E173" s="291">
        <v>0</v>
      </c>
      <c r="F173" s="291">
        <v>0</v>
      </c>
      <c r="G173" s="291">
        <v>-2537.87</v>
      </c>
      <c r="H173" s="291">
        <v>2537.87</v>
      </c>
      <c r="I173" s="291">
        <v>0</v>
      </c>
      <c r="K173" s="291">
        <v>4561</v>
      </c>
      <c r="L173" s="291" t="s">
        <v>602</v>
      </c>
      <c r="M173" s="291" t="s">
        <v>707</v>
      </c>
      <c r="N173" s="291">
        <v>0</v>
      </c>
      <c r="O173" s="291">
        <v>0</v>
      </c>
      <c r="P173" s="291">
        <v>0</v>
      </c>
      <c r="Q173" s="291">
        <v>0</v>
      </c>
      <c r="R173" s="291">
        <v>0</v>
      </c>
      <c r="S173" s="291">
        <v>0</v>
      </c>
      <c r="U173" s="70"/>
      <c r="V173" s="47"/>
      <c r="W173" s="37">
        <v>0</v>
      </c>
    </row>
    <row r="174" spans="1:23" ht="14.25" customHeight="1">
      <c r="A174" s="291">
        <v>4442</v>
      </c>
      <c r="B174" s="291" t="s">
        <v>300</v>
      </c>
      <c r="C174" s="291" t="s">
        <v>761</v>
      </c>
      <c r="D174" s="291">
        <v>0</v>
      </c>
      <c r="E174" s="291">
        <v>0</v>
      </c>
      <c r="F174" s="291">
        <v>0</v>
      </c>
      <c r="G174" s="291">
        <v>0</v>
      </c>
      <c r="H174" s="291">
        <v>0</v>
      </c>
      <c r="I174" s="291">
        <v>0</v>
      </c>
      <c r="K174" s="291">
        <v>4442</v>
      </c>
      <c r="L174" s="291" t="s">
        <v>300</v>
      </c>
      <c r="M174" s="291" t="s">
        <v>708</v>
      </c>
      <c r="N174" s="291">
        <v>0</v>
      </c>
      <c r="O174" s="291">
        <v>0</v>
      </c>
      <c r="P174" s="291">
        <v>0</v>
      </c>
      <c r="Q174" s="291">
        <v>0</v>
      </c>
      <c r="R174" s="291">
        <v>0</v>
      </c>
      <c r="S174" s="291">
        <v>0</v>
      </c>
      <c r="U174" s="70"/>
      <c r="V174" s="47"/>
      <c r="W174" s="37">
        <v>0</v>
      </c>
    </row>
    <row r="175" spans="1:23" ht="14.25" customHeight="1">
      <c r="A175" s="291">
        <v>4516</v>
      </c>
      <c r="B175" s="291" t="s">
        <v>302</v>
      </c>
      <c r="C175" s="291" t="s">
        <v>709</v>
      </c>
      <c r="D175" s="291">
        <v>0</v>
      </c>
      <c r="E175" s="291">
        <v>0</v>
      </c>
      <c r="F175" s="291">
        <v>0</v>
      </c>
      <c r="G175" s="291">
        <v>0</v>
      </c>
      <c r="H175" s="291">
        <v>0</v>
      </c>
      <c r="I175" s="291">
        <v>0</v>
      </c>
      <c r="K175" s="291">
        <v>4516</v>
      </c>
      <c r="L175" s="291" t="s">
        <v>302</v>
      </c>
      <c r="M175" s="291" t="s">
        <v>709</v>
      </c>
      <c r="N175" s="291">
        <v>0</v>
      </c>
      <c r="O175" s="291">
        <v>0</v>
      </c>
      <c r="P175" s="291">
        <v>0</v>
      </c>
      <c r="Q175" s="291">
        <v>0</v>
      </c>
      <c r="R175" s="291">
        <v>0</v>
      </c>
      <c r="S175" s="291">
        <v>0</v>
      </c>
      <c r="U175" s="70"/>
      <c r="V175" s="47"/>
      <c r="W175" s="37">
        <v>0</v>
      </c>
    </row>
    <row r="176" spans="1:23" ht="14.25" customHeight="1">
      <c r="A176" s="291">
        <v>4443</v>
      </c>
      <c r="B176" s="291" t="s">
        <v>304</v>
      </c>
      <c r="C176" s="291" t="s">
        <v>572</v>
      </c>
      <c r="D176" s="291">
        <v>0</v>
      </c>
      <c r="E176" s="291">
        <v>0</v>
      </c>
      <c r="F176" s="291">
        <v>0</v>
      </c>
      <c r="G176" s="291">
        <v>-92.6</v>
      </c>
      <c r="H176" s="291">
        <v>92.6</v>
      </c>
      <c r="I176" s="291">
        <v>0</v>
      </c>
      <c r="K176" s="291">
        <v>4443</v>
      </c>
      <c r="L176" s="291" t="s">
        <v>304</v>
      </c>
      <c r="M176" s="291" t="s">
        <v>572</v>
      </c>
      <c r="N176" s="291">
        <v>0</v>
      </c>
      <c r="O176" s="291">
        <v>0</v>
      </c>
      <c r="P176" s="291">
        <v>0</v>
      </c>
      <c r="Q176" s="291">
        <v>-17.58</v>
      </c>
      <c r="R176" s="291">
        <v>17.58</v>
      </c>
      <c r="S176" s="291">
        <v>0</v>
      </c>
      <c r="U176" s="70"/>
      <c r="V176" s="47"/>
      <c r="W176" s="37">
        <v>0</v>
      </c>
    </row>
    <row r="177" spans="1:23" ht="14.25" customHeight="1">
      <c r="A177" s="291">
        <v>4444</v>
      </c>
      <c r="B177" s="291" t="s">
        <v>306</v>
      </c>
      <c r="C177" s="291" t="s">
        <v>307</v>
      </c>
      <c r="D177" s="291">
        <v>0</v>
      </c>
      <c r="E177" s="291">
        <v>0</v>
      </c>
      <c r="F177" s="291">
        <v>0</v>
      </c>
      <c r="G177" s="291">
        <v>-64.58</v>
      </c>
      <c r="H177" s="291">
        <v>64.58</v>
      </c>
      <c r="I177" s="291">
        <v>0</v>
      </c>
      <c r="K177" s="291">
        <v>4444</v>
      </c>
      <c r="L177" s="291" t="s">
        <v>306</v>
      </c>
      <c r="M177" s="291" t="s">
        <v>307</v>
      </c>
      <c r="N177" s="291">
        <v>0</v>
      </c>
      <c r="O177" s="291">
        <v>0</v>
      </c>
      <c r="P177" s="291">
        <v>0</v>
      </c>
      <c r="Q177" s="291">
        <v>-11.35</v>
      </c>
      <c r="R177" s="291">
        <v>11.35</v>
      </c>
      <c r="S177" s="291">
        <v>0</v>
      </c>
      <c r="U177" s="70"/>
      <c r="V177" s="47"/>
      <c r="W177" s="37">
        <v>0</v>
      </c>
    </row>
    <row r="178" spans="1:23" ht="14.25" customHeight="1">
      <c r="A178" s="291">
        <v>4445</v>
      </c>
      <c r="B178" s="291" t="s">
        <v>308</v>
      </c>
      <c r="C178" s="291" t="s">
        <v>309</v>
      </c>
      <c r="D178" s="291">
        <v>0</v>
      </c>
      <c r="E178" s="291">
        <v>0</v>
      </c>
      <c r="F178" s="291">
        <v>0</v>
      </c>
      <c r="G178" s="291">
        <v>-15.69</v>
      </c>
      <c r="H178" s="291">
        <v>15.69</v>
      </c>
      <c r="I178" s="291">
        <v>0</v>
      </c>
      <c r="K178" s="291">
        <v>4445</v>
      </c>
      <c r="L178" s="291" t="s">
        <v>308</v>
      </c>
      <c r="M178" s="291" t="s">
        <v>309</v>
      </c>
      <c r="N178" s="291">
        <v>0</v>
      </c>
      <c r="O178" s="291">
        <v>0</v>
      </c>
      <c r="P178" s="291">
        <v>0</v>
      </c>
      <c r="Q178" s="291">
        <v>-10.67</v>
      </c>
      <c r="R178" s="291">
        <v>10.67</v>
      </c>
      <c r="S178" s="291">
        <v>0</v>
      </c>
      <c r="U178" s="70"/>
      <c r="V178" s="47"/>
      <c r="W178" s="37">
        <v>0</v>
      </c>
    </row>
    <row r="179" spans="1:23" ht="14.25" customHeight="1">
      <c r="A179" s="291">
        <v>4446</v>
      </c>
      <c r="B179" s="291" t="s">
        <v>310</v>
      </c>
      <c r="C179" s="291" t="s">
        <v>710</v>
      </c>
      <c r="D179" s="291">
        <v>0</v>
      </c>
      <c r="E179" s="291">
        <v>789.54</v>
      </c>
      <c r="F179" s="291">
        <v>0</v>
      </c>
      <c r="G179" s="291">
        <v>-3645.87</v>
      </c>
      <c r="H179" s="291">
        <v>2856.33</v>
      </c>
      <c r="I179" s="291">
        <v>0</v>
      </c>
      <c r="K179" s="291">
        <v>4446</v>
      </c>
      <c r="L179" s="291" t="s">
        <v>310</v>
      </c>
      <c r="M179" s="291" t="s">
        <v>710</v>
      </c>
      <c r="N179" s="291">
        <v>0</v>
      </c>
      <c r="O179" s="291">
        <v>30069.55</v>
      </c>
      <c r="P179" s="291">
        <v>0</v>
      </c>
      <c r="Q179" s="291">
        <v>-33954.32</v>
      </c>
      <c r="R179" s="291">
        <v>3884.77</v>
      </c>
      <c r="S179" s="291">
        <v>0</v>
      </c>
      <c r="U179" s="70"/>
      <c r="V179" s="47"/>
      <c r="W179" s="37">
        <v>0</v>
      </c>
    </row>
    <row r="180" spans="1:23" ht="14.25" customHeight="1">
      <c r="A180" s="291">
        <v>4408</v>
      </c>
      <c r="B180" s="291" t="s">
        <v>312</v>
      </c>
      <c r="C180" s="291" t="s">
        <v>313</v>
      </c>
      <c r="D180" s="291">
        <v>1708</v>
      </c>
      <c r="E180" s="291">
        <v>0</v>
      </c>
      <c r="F180" s="291">
        <v>0</v>
      </c>
      <c r="G180" s="291">
        <v>-93.24</v>
      </c>
      <c r="H180" s="291">
        <v>1801.24</v>
      </c>
      <c r="I180" s="291">
        <v>-5.46</v>
      </c>
      <c r="K180" s="291">
        <v>4408</v>
      </c>
      <c r="L180" s="291" t="s">
        <v>312</v>
      </c>
      <c r="M180" s="291" t="s">
        <v>313</v>
      </c>
      <c r="N180" s="291">
        <v>1708</v>
      </c>
      <c r="O180" s="291">
        <v>0</v>
      </c>
      <c r="P180" s="291">
        <v>0</v>
      </c>
      <c r="Q180" s="291">
        <v>-93.24</v>
      </c>
      <c r="R180" s="291">
        <v>1801.24</v>
      </c>
      <c r="S180" s="291">
        <v>-5.46</v>
      </c>
      <c r="U180" s="70"/>
      <c r="V180" s="47"/>
      <c r="W180" s="37">
        <v>0</v>
      </c>
    </row>
    <row r="181" spans="1:23" ht="14.25" customHeight="1">
      <c r="A181" s="291">
        <v>4511</v>
      </c>
      <c r="B181" s="291" t="s">
        <v>314</v>
      </c>
      <c r="C181" s="291" t="s">
        <v>762</v>
      </c>
      <c r="D181" s="291">
        <v>0</v>
      </c>
      <c r="E181" s="291">
        <v>0</v>
      </c>
      <c r="F181" s="291">
        <v>0</v>
      </c>
      <c r="G181" s="291">
        <v>-1097.59</v>
      </c>
      <c r="H181" s="291">
        <v>1097.59</v>
      </c>
      <c r="I181" s="291">
        <v>0</v>
      </c>
      <c r="K181" s="291">
        <v>4511</v>
      </c>
      <c r="L181" s="291" t="s">
        <v>314</v>
      </c>
      <c r="M181" s="291" t="s">
        <v>711</v>
      </c>
      <c r="N181" s="291">
        <v>0</v>
      </c>
      <c r="O181" s="291">
        <v>0</v>
      </c>
      <c r="P181" s="291">
        <v>0</v>
      </c>
      <c r="Q181" s="291">
        <v>0</v>
      </c>
      <c r="R181" s="291">
        <v>0</v>
      </c>
      <c r="S181" s="291">
        <v>0</v>
      </c>
      <c r="U181" s="70"/>
      <c r="V181" s="47"/>
      <c r="W181" s="37">
        <v>0</v>
      </c>
    </row>
    <row r="182" spans="1:23" ht="14.25" customHeight="1">
      <c r="A182" s="291">
        <v>4562</v>
      </c>
      <c r="B182" s="291" t="s">
        <v>604</v>
      </c>
      <c r="C182" s="291" t="s">
        <v>615</v>
      </c>
      <c r="D182" s="291">
        <v>0</v>
      </c>
      <c r="E182" s="291">
        <v>0</v>
      </c>
      <c r="F182" s="291">
        <v>0</v>
      </c>
      <c r="G182" s="291">
        <v>0</v>
      </c>
      <c r="H182" s="291">
        <v>0</v>
      </c>
      <c r="I182" s="291">
        <v>0</v>
      </c>
      <c r="K182" s="291">
        <v>4562</v>
      </c>
      <c r="L182" s="291" t="s">
        <v>604</v>
      </c>
      <c r="M182" s="291" t="s">
        <v>615</v>
      </c>
      <c r="N182" s="291">
        <v>0</v>
      </c>
      <c r="O182" s="291">
        <v>0</v>
      </c>
      <c r="P182" s="291">
        <v>0</v>
      </c>
      <c r="Q182" s="291">
        <v>0</v>
      </c>
      <c r="R182" s="291">
        <v>0</v>
      </c>
      <c r="S182" s="291">
        <v>0</v>
      </c>
      <c r="U182" s="70"/>
      <c r="V182" s="47"/>
      <c r="W182" s="37">
        <v>0</v>
      </c>
    </row>
    <row r="183" spans="1:23" ht="14.25" customHeight="1">
      <c r="A183" s="291">
        <v>4540</v>
      </c>
      <c r="B183" s="291" t="s">
        <v>316</v>
      </c>
      <c r="C183" s="291" t="s">
        <v>712</v>
      </c>
      <c r="D183" s="291">
        <v>0</v>
      </c>
      <c r="E183" s="291">
        <v>16250</v>
      </c>
      <c r="F183" s="291">
        <v>0</v>
      </c>
      <c r="G183" s="291">
        <v>-2642.36</v>
      </c>
      <c r="H183" s="291">
        <v>-13607.64</v>
      </c>
      <c r="I183" s="291">
        <v>0</v>
      </c>
      <c r="K183" s="291">
        <v>4540</v>
      </c>
      <c r="L183" s="291" t="s">
        <v>316</v>
      </c>
      <c r="M183" s="291" t="s">
        <v>712</v>
      </c>
      <c r="N183" s="291">
        <v>0</v>
      </c>
      <c r="O183" s="291">
        <v>19250</v>
      </c>
      <c r="P183" s="291">
        <v>0</v>
      </c>
      <c r="Q183" s="291">
        <v>-5029.73</v>
      </c>
      <c r="R183" s="291">
        <v>-14220.27</v>
      </c>
      <c r="S183" s="291">
        <v>0</v>
      </c>
      <c r="U183" s="70"/>
      <c r="V183" s="47"/>
      <c r="W183" s="37">
        <v>0</v>
      </c>
    </row>
    <row r="184" spans="1:23" ht="14.25" customHeight="1">
      <c r="A184" s="291">
        <v>4412</v>
      </c>
      <c r="B184" s="291" t="s">
        <v>318</v>
      </c>
      <c r="C184" s="291" t="s">
        <v>713</v>
      </c>
      <c r="D184" s="291">
        <v>0</v>
      </c>
      <c r="E184" s="291">
        <v>0</v>
      </c>
      <c r="F184" s="291">
        <v>0</v>
      </c>
      <c r="G184" s="291">
        <v>0</v>
      </c>
      <c r="H184" s="291">
        <v>0</v>
      </c>
      <c r="I184" s="291">
        <v>0</v>
      </c>
      <c r="K184" s="291">
        <v>4412</v>
      </c>
      <c r="L184" s="291" t="s">
        <v>318</v>
      </c>
      <c r="M184" s="291" t="s">
        <v>713</v>
      </c>
      <c r="N184" s="291">
        <v>0</v>
      </c>
      <c r="O184" s="291">
        <v>250</v>
      </c>
      <c r="P184" s="291">
        <v>0</v>
      </c>
      <c r="Q184" s="291">
        <v>-319.03</v>
      </c>
      <c r="R184" s="291">
        <v>69.03</v>
      </c>
      <c r="S184" s="291">
        <v>0</v>
      </c>
      <c r="U184" s="70"/>
      <c r="V184" s="47"/>
      <c r="W184" s="37">
        <v>0</v>
      </c>
    </row>
    <row r="185" spans="1:23" ht="14.25" customHeight="1">
      <c r="A185" s="291">
        <v>4558</v>
      </c>
      <c r="B185" s="291" t="s">
        <v>606</v>
      </c>
      <c r="C185" s="291" t="s">
        <v>714</v>
      </c>
      <c r="D185" s="291">
        <v>0</v>
      </c>
      <c r="E185" s="291">
        <v>0</v>
      </c>
      <c r="F185" s="291">
        <v>0</v>
      </c>
      <c r="G185" s="291">
        <v>0</v>
      </c>
      <c r="H185" s="291">
        <v>0</v>
      </c>
      <c r="I185" s="291">
        <v>0</v>
      </c>
      <c r="K185" s="291">
        <v>4558</v>
      </c>
      <c r="L185" s="291" t="s">
        <v>606</v>
      </c>
      <c r="M185" s="291" t="s">
        <v>714</v>
      </c>
      <c r="N185" s="291">
        <v>0</v>
      </c>
      <c r="O185" s="291">
        <v>0</v>
      </c>
      <c r="P185" s="291">
        <v>0</v>
      </c>
      <c r="Q185" s="291">
        <v>0</v>
      </c>
      <c r="R185" s="291">
        <v>0</v>
      </c>
      <c r="S185" s="291">
        <v>0</v>
      </c>
      <c r="U185" s="70"/>
      <c r="V185" s="47"/>
      <c r="W185" s="37">
        <v>0</v>
      </c>
    </row>
    <row r="186" spans="1:23" ht="14.25" customHeight="1">
      <c r="A186" s="291">
        <v>4515</v>
      </c>
      <c r="B186" s="291" t="s">
        <v>320</v>
      </c>
      <c r="C186" s="291" t="s">
        <v>763</v>
      </c>
      <c r="D186" s="291">
        <v>0</v>
      </c>
      <c r="E186" s="291">
        <v>0</v>
      </c>
      <c r="F186" s="291">
        <v>0</v>
      </c>
      <c r="G186" s="291">
        <v>314.97</v>
      </c>
      <c r="H186" s="291">
        <v>-314.97</v>
      </c>
      <c r="I186" s="291">
        <v>0</v>
      </c>
      <c r="K186" s="291">
        <v>4515</v>
      </c>
      <c r="L186" s="291" t="s">
        <v>320</v>
      </c>
      <c r="M186" s="291" t="s">
        <v>715</v>
      </c>
      <c r="N186" s="291">
        <v>0</v>
      </c>
      <c r="O186" s="291">
        <v>0</v>
      </c>
      <c r="P186" s="291">
        <v>0</v>
      </c>
      <c r="Q186" s="291">
        <v>0</v>
      </c>
      <c r="R186" s="291">
        <v>0</v>
      </c>
      <c r="S186" s="291">
        <v>0</v>
      </c>
      <c r="U186" s="70"/>
      <c r="V186" s="47"/>
      <c r="W186" s="37">
        <v>0</v>
      </c>
    </row>
    <row r="187" spans="1:23" ht="14.25" customHeight="1">
      <c r="A187" s="291">
        <v>4563</v>
      </c>
      <c r="B187" s="291" t="s">
        <v>608</v>
      </c>
      <c r="C187" s="291" t="s">
        <v>609</v>
      </c>
      <c r="D187" s="291">
        <v>0</v>
      </c>
      <c r="E187" s="291">
        <v>0</v>
      </c>
      <c r="F187" s="291">
        <v>0</v>
      </c>
      <c r="G187" s="291">
        <v>0</v>
      </c>
      <c r="H187" s="291">
        <v>0</v>
      </c>
      <c r="I187" s="291">
        <v>0</v>
      </c>
      <c r="K187" s="291">
        <v>4563</v>
      </c>
      <c r="L187" s="291" t="s">
        <v>608</v>
      </c>
      <c r="M187" s="291" t="s">
        <v>609</v>
      </c>
      <c r="N187" s="291">
        <v>0</v>
      </c>
      <c r="O187" s="291">
        <v>0</v>
      </c>
      <c r="P187" s="291">
        <v>0</v>
      </c>
      <c r="Q187" s="291">
        <v>0</v>
      </c>
      <c r="R187" s="291">
        <v>0</v>
      </c>
      <c r="S187" s="291">
        <v>0</v>
      </c>
      <c r="U187" s="70"/>
      <c r="V187" s="47"/>
      <c r="W187" s="37">
        <v>0</v>
      </c>
    </row>
    <row r="188" spans="1:23" ht="14.25" customHeight="1">
      <c r="A188" s="291">
        <v>4564</v>
      </c>
      <c r="B188" s="291" t="s">
        <v>610</v>
      </c>
      <c r="C188" s="291" t="s">
        <v>716</v>
      </c>
      <c r="D188" s="291">
        <v>0</v>
      </c>
      <c r="E188" s="291">
        <v>0</v>
      </c>
      <c r="F188" s="291">
        <v>0</v>
      </c>
      <c r="G188" s="291">
        <v>0</v>
      </c>
      <c r="H188" s="291">
        <v>0</v>
      </c>
      <c r="I188" s="291">
        <v>0</v>
      </c>
      <c r="K188" s="291">
        <v>4564</v>
      </c>
      <c r="L188" s="291" t="s">
        <v>610</v>
      </c>
      <c r="M188" s="291" t="s">
        <v>716</v>
      </c>
      <c r="N188" s="291">
        <v>0</v>
      </c>
      <c r="O188" s="291">
        <v>0</v>
      </c>
      <c r="P188" s="291">
        <v>0</v>
      </c>
      <c r="Q188" s="291">
        <v>0</v>
      </c>
      <c r="R188" s="291">
        <v>0</v>
      </c>
      <c r="S188" s="291">
        <v>0</v>
      </c>
      <c r="U188" s="70"/>
      <c r="V188" s="47"/>
      <c r="W188" s="37">
        <v>0</v>
      </c>
    </row>
    <row r="189" spans="1:23" ht="14.25" customHeight="1">
      <c r="A189" s="291">
        <v>4568</v>
      </c>
      <c r="B189" s="291" t="s">
        <v>616</v>
      </c>
      <c r="C189" s="291" t="s">
        <v>717</v>
      </c>
      <c r="D189" s="291">
        <v>0</v>
      </c>
      <c r="E189" s="291">
        <v>0</v>
      </c>
      <c r="F189" s="291">
        <v>0</v>
      </c>
      <c r="G189" s="291">
        <v>0</v>
      </c>
      <c r="H189" s="291">
        <v>0</v>
      </c>
      <c r="I189" s="291">
        <v>0</v>
      </c>
      <c r="K189" s="291">
        <v>4568</v>
      </c>
      <c r="L189" s="291" t="s">
        <v>616</v>
      </c>
      <c r="M189" s="291" t="s">
        <v>717</v>
      </c>
      <c r="N189" s="291">
        <v>0</v>
      </c>
      <c r="O189" s="291">
        <v>0</v>
      </c>
      <c r="P189" s="291">
        <v>0</v>
      </c>
      <c r="Q189" s="291">
        <v>0</v>
      </c>
      <c r="R189" s="291">
        <v>0</v>
      </c>
      <c r="S189" s="291">
        <v>0</v>
      </c>
      <c r="U189" s="70"/>
      <c r="V189" s="47"/>
      <c r="W189" s="37">
        <v>0</v>
      </c>
    </row>
    <row r="190" spans="1:23" ht="14.25" customHeight="1">
      <c r="A190" s="291">
        <v>4417</v>
      </c>
      <c r="B190" s="291" t="s">
        <v>322</v>
      </c>
      <c r="C190" s="291" t="s">
        <v>718</v>
      </c>
      <c r="D190" s="291">
        <v>0</v>
      </c>
      <c r="E190" s="291">
        <v>0</v>
      </c>
      <c r="F190" s="291">
        <v>0</v>
      </c>
      <c r="G190" s="291">
        <v>0</v>
      </c>
      <c r="H190" s="291">
        <v>0</v>
      </c>
      <c r="I190" s="291">
        <v>0</v>
      </c>
      <c r="K190" s="291">
        <v>4417</v>
      </c>
      <c r="L190" s="291" t="s">
        <v>322</v>
      </c>
      <c r="M190" s="291" t="s">
        <v>718</v>
      </c>
      <c r="N190" s="291">
        <v>0</v>
      </c>
      <c r="O190" s="291">
        <v>0</v>
      </c>
      <c r="P190" s="291">
        <v>0</v>
      </c>
      <c r="Q190" s="291">
        <v>0</v>
      </c>
      <c r="R190" s="291">
        <v>0</v>
      </c>
      <c r="S190" s="291">
        <v>0</v>
      </c>
      <c r="U190" s="70"/>
      <c r="V190" s="47"/>
      <c r="W190" s="37">
        <v>0</v>
      </c>
    </row>
    <row r="191" spans="1:23" ht="14.25" customHeight="1">
      <c r="A191" s="291">
        <v>4528</v>
      </c>
      <c r="B191" s="291" t="s">
        <v>324</v>
      </c>
      <c r="C191" s="291" t="s">
        <v>719</v>
      </c>
      <c r="D191" s="291">
        <v>0</v>
      </c>
      <c r="E191" s="291">
        <v>13928.4</v>
      </c>
      <c r="F191" s="291">
        <v>0</v>
      </c>
      <c r="G191" s="291">
        <v>3019.26</v>
      </c>
      <c r="H191" s="291">
        <v>-16947.66</v>
      </c>
      <c r="I191" s="291">
        <v>0</v>
      </c>
      <c r="K191" s="291">
        <v>4528</v>
      </c>
      <c r="L191" s="291" t="s">
        <v>324</v>
      </c>
      <c r="M191" s="291" t="s">
        <v>719</v>
      </c>
      <c r="N191" s="291">
        <v>0</v>
      </c>
      <c r="O191" s="291">
        <v>0</v>
      </c>
      <c r="P191" s="291">
        <v>0</v>
      </c>
      <c r="Q191" s="291">
        <v>5232.44</v>
      </c>
      <c r="R191" s="291">
        <v>-5232.44</v>
      </c>
      <c r="S191" s="291">
        <v>0</v>
      </c>
      <c r="U191" s="70"/>
      <c r="V191" s="47"/>
      <c r="W191" s="37">
        <v>0</v>
      </c>
    </row>
    <row r="192" spans="1:23" ht="14.25" customHeight="1">
      <c r="A192" s="291">
        <v>4557</v>
      </c>
      <c r="B192" s="291" t="s">
        <v>592</v>
      </c>
      <c r="C192" s="291" t="s">
        <v>593</v>
      </c>
      <c r="D192" s="291">
        <v>0</v>
      </c>
      <c r="E192" s="291">
        <v>0</v>
      </c>
      <c r="F192" s="291">
        <v>0</v>
      </c>
      <c r="G192" s="291">
        <v>-314.41</v>
      </c>
      <c r="H192" s="291">
        <v>314.41</v>
      </c>
      <c r="I192" s="291">
        <v>0</v>
      </c>
      <c r="K192" s="291">
        <v>4557</v>
      </c>
      <c r="L192" s="291" t="s">
        <v>592</v>
      </c>
      <c r="M192" s="291" t="s">
        <v>593</v>
      </c>
      <c r="N192" s="291">
        <v>0</v>
      </c>
      <c r="O192" s="291">
        <v>0</v>
      </c>
      <c r="P192" s="291">
        <v>0</v>
      </c>
      <c r="Q192" s="291">
        <v>-286.12</v>
      </c>
      <c r="R192" s="291">
        <v>286.12</v>
      </c>
      <c r="S192" s="291">
        <v>0</v>
      </c>
      <c r="U192" s="58"/>
      <c r="V192" s="47"/>
      <c r="W192" s="37">
        <v>0</v>
      </c>
    </row>
    <row r="193" spans="1:23" ht="14.25" customHeight="1">
      <c r="A193" s="291">
        <v>4531</v>
      </c>
      <c r="B193" s="291" t="s">
        <v>326</v>
      </c>
      <c r="C193" s="291" t="s">
        <v>720</v>
      </c>
      <c r="D193" s="291">
        <v>0</v>
      </c>
      <c r="E193" s="291">
        <v>0</v>
      </c>
      <c r="F193" s="291">
        <v>0</v>
      </c>
      <c r="G193" s="291">
        <v>0</v>
      </c>
      <c r="H193" s="291">
        <v>0</v>
      </c>
      <c r="I193" s="291">
        <v>0</v>
      </c>
      <c r="K193" s="291">
        <v>4531</v>
      </c>
      <c r="L193" s="291" t="s">
        <v>326</v>
      </c>
      <c r="M193" s="291" t="s">
        <v>720</v>
      </c>
      <c r="N193" s="291">
        <v>0</v>
      </c>
      <c r="O193" s="291">
        <v>0</v>
      </c>
      <c r="P193" s="291">
        <v>0</v>
      </c>
      <c r="Q193" s="291">
        <v>0</v>
      </c>
      <c r="R193" s="291">
        <v>0</v>
      </c>
      <c r="S193" s="291">
        <v>0</v>
      </c>
      <c r="U193" s="70"/>
      <c r="V193" s="47"/>
      <c r="W193" s="37">
        <v>0</v>
      </c>
    </row>
    <row r="194" spans="1:23" ht="14.25" customHeight="1">
      <c r="A194" s="291">
        <v>4419</v>
      </c>
      <c r="B194" s="291" t="s">
        <v>328</v>
      </c>
      <c r="C194" s="291" t="s">
        <v>741</v>
      </c>
      <c r="D194" s="291">
        <v>0</v>
      </c>
      <c r="E194" s="291">
        <v>1258</v>
      </c>
      <c r="F194" s="291">
        <v>0</v>
      </c>
      <c r="G194" s="291">
        <v>-206.29</v>
      </c>
      <c r="H194" s="291">
        <v>-1051.71</v>
      </c>
      <c r="I194" s="291">
        <v>0</v>
      </c>
      <c r="K194" s="291">
        <v>4419</v>
      </c>
      <c r="L194" s="291" t="s">
        <v>328</v>
      </c>
      <c r="M194" s="291" t="s">
        <v>741</v>
      </c>
      <c r="N194" s="291">
        <v>0</v>
      </c>
      <c r="O194" s="291">
        <v>0</v>
      </c>
      <c r="P194" s="291">
        <v>0</v>
      </c>
      <c r="Q194" s="291">
        <v>-596.93</v>
      </c>
      <c r="R194" s="291">
        <v>596.93</v>
      </c>
      <c r="S194" s="291">
        <v>0</v>
      </c>
      <c r="U194" s="70"/>
      <c r="V194" s="47"/>
      <c r="W194" s="37">
        <v>0</v>
      </c>
    </row>
    <row r="195" spans="1:23" ht="14.25" customHeight="1">
      <c r="A195" s="291">
        <v>4567</v>
      </c>
      <c r="B195" s="291" t="s">
        <v>618</v>
      </c>
      <c r="C195" s="291" t="s">
        <v>721</v>
      </c>
      <c r="D195" s="291">
        <v>0</v>
      </c>
      <c r="E195" s="291">
        <v>0</v>
      </c>
      <c r="F195" s="291">
        <v>0</v>
      </c>
      <c r="G195" s="291">
        <v>0</v>
      </c>
      <c r="H195" s="291">
        <v>0</v>
      </c>
      <c r="I195" s="291">
        <v>0</v>
      </c>
      <c r="K195" s="291">
        <v>4567</v>
      </c>
      <c r="L195" s="291" t="s">
        <v>618</v>
      </c>
      <c r="M195" s="291" t="s">
        <v>721</v>
      </c>
      <c r="N195" s="291">
        <v>0</v>
      </c>
      <c r="O195" s="291">
        <v>0</v>
      </c>
      <c r="P195" s="291">
        <v>0</v>
      </c>
      <c r="Q195" s="291">
        <v>0</v>
      </c>
      <c r="R195" s="291">
        <v>0</v>
      </c>
      <c r="S195" s="291">
        <v>0</v>
      </c>
      <c r="U195" s="70"/>
      <c r="V195" s="47"/>
      <c r="W195" s="37">
        <v>0</v>
      </c>
    </row>
    <row r="196" spans="1:23" ht="14.25" customHeight="1">
      <c r="A196" s="291">
        <v>4517</v>
      </c>
      <c r="B196" s="291" t="s">
        <v>330</v>
      </c>
      <c r="C196" s="291" t="s">
        <v>645</v>
      </c>
      <c r="D196" s="291">
        <v>217</v>
      </c>
      <c r="E196" s="291">
        <v>0</v>
      </c>
      <c r="F196" s="291">
        <v>0</v>
      </c>
      <c r="G196" s="291">
        <v>0</v>
      </c>
      <c r="H196" s="291">
        <v>217</v>
      </c>
      <c r="I196" s="291">
        <v>0</v>
      </c>
      <c r="K196" s="291">
        <v>4517</v>
      </c>
      <c r="L196" s="291" t="s">
        <v>330</v>
      </c>
      <c r="M196" s="291" t="s">
        <v>645</v>
      </c>
      <c r="N196" s="291">
        <v>217</v>
      </c>
      <c r="O196" s="291">
        <v>0</v>
      </c>
      <c r="P196" s="291">
        <v>0</v>
      </c>
      <c r="Q196" s="291">
        <v>0</v>
      </c>
      <c r="R196" s="291">
        <v>217</v>
      </c>
      <c r="S196" s="291">
        <v>0</v>
      </c>
      <c r="U196" s="70"/>
      <c r="V196" s="47"/>
      <c r="W196" s="37">
        <v>0</v>
      </c>
    </row>
    <row r="197" spans="1:23" ht="14.25" customHeight="1">
      <c r="A197" s="291">
        <v>4569</v>
      </c>
      <c r="B197" s="291" t="s">
        <v>620</v>
      </c>
      <c r="C197" s="291" t="s">
        <v>621</v>
      </c>
      <c r="D197" s="291">
        <v>0</v>
      </c>
      <c r="E197" s="291">
        <v>0</v>
      </c>
      <c r="F197" s="291">
        <v>0</v>
      </c>
      <c r="G197" s="291">
        <v>0</v>
      </c>
      <c r="H197" s="291">
        <v>0</v>
      </c>
      <c r="I197" s="291">
        <v>0</v>
      </c>
      <c r="K197" s="291">
        <v>4569</v>
      </c>
      <c r="L197" s="291" t="s">
        <v>620</v>
      </c>
      <c r="M197" s="291" t="s">
        <v>621</v>
      </c>
      <c r="N197" s="291">
        <v>0</v>
      </c>
      <c r="O197" s="291">
        <v>0</v>
      </c>
      <c r="P197" s="291">
        <v>0</v>
      </c>
      <c r="Q197" s="291">
        <v>0</v>
      </c>
      <c r="R197" s="291">
        <v>0</v>
      </c>
      <c r="S197" s="291">
        <v>0</v>
      </c>
      <c r="U197" s="70"/>
      <c r="V197" s="47"/>
      <c r="W197" s="37">
        <v>0</v>
      </c>
    </row>
    <row r="198" spans="1:23" ht="14.25" customHeight="1">
      <c r="A198" s="291">
        <v>4570</v>
      </c>
      <c r="B198" s="291" t="s">
        <v>622</v>
      </c>
      <c r="C198" s="291" t="s">
        <v>742</v>
      </c>
      <c r="D198" s="291">
        <v>0</v>
      </c>
      <c r="E198" s="291">
        <v>0</v>
      </c>
      <c r="F198" s="291">
        <v>0</v>
      </c>
      <c r="G198" s="291">
        <v>0</v>
      </c>
      <c r="H198" s="291">
        <v>0</v>
      </c>
      <c r="I198" s="291">
        <v>0</v>
      </c>
      <c r="K198" s="291">
        <v>4570</v>
      </c>
      <c r="L198" s="291" t="s">
        <v>622</v>
      </c>
      <c r="M198" s="291" t="s">
        <v>742</v>
      </c>
      <c r="N198" s="291">
        <v>0</v>
      </c>
      <c r="O198" s="291">
        <v>0</v>
      </c>
      <c r="P198" s="291">
        <v>0</v>
      </c>
      <c r="Q198" s="291">
        <v>0</v>
      </c>
      <c r="R198" s="291">
        <v>0</v>
      </c>
      <c r="S198" s="291">
        <v>0</v>
      </c>
      <c r="U198" s="70"/>
      <c r="V198" s="47"/>
      <c r="W198" s="37">
        <v>0</v>
      </c>
    </row>
    <row r="199" spans="1:23" ht="14.25" customHeight="1">
      <c r="A199" s="291">
        <v>4536</v>
      </c>
      <c r="B199" s="291" t="s">
        <v>332</v>
      </c>
      <c r="C199" s="291" t="s">
        <v>723</v>
      </c>
      <c r="D199" s="291">
        <v>0</v>
      </c>
      <c r="E199" s="291">
        <v>0</v>
      </c>
      <c r="F199" s="291">
        <v>0</v>
      </c>
      <c r="G199" s="291">
        <v>0</v>
      </c>
      <c r="H199" s="291">
        <v>0</v>
      </c>
      <c r="I199" s="291">
        <v>0</v>
      </c>
      <c r="K199" s="291">
        <v>4536</v>
      </c>
      <c r="L199" s="291" t="s">
        <v>332</v>
      </c>
      <c r="M199" s="291" t="s">
        <v>723</v>
      </c>
      <c r="N199" s="291">
        <v>0</v>
      </c>
      <c r="O199" s="291">
        <v>0</v>
      </c>
      <c r="P199" s="291">
        <v>0</v>
      </c>
      <c r="Q199" s="291">
        <v>0</v>
      </c>
      <c r="R199" s="291">
        <v>0</v>
      </c>
      <c r="S199" s="291">
        <v>0</v>
      </c>
      <c r="U199" s="70"/>
      <c r="V199" s="47"/>
      <c r="W199" s="37">
        <v>0</v>
      </c>
    </row>
    <row r="200" spans="1:23" ht="14.25" customHeight="1">
      <c r="A200" s="291">
        <v>4571</v>
      </c>
      <c r="B200" s="291" t="s">
        <v>624</v>
      </c>
      <c r="C200" s="291" t="s">
        <v>743</v>
      </c>
      <c r="D200" s="291">
        <v>0</v>
      </c>
      <c r="E200" s="291">
        <v>21074</v>
      </c>
      <c r="F200" s="291">
        <v>0</v>
      </c>
      <c r="G200" s="291">
        <v>-945.73</v>
      </c>
      <c r="H200" s="291">
        <v>-20128.27</v>
      </c>
      <c r="I200" s="291">
        <v>0</v>
      </c>
      <c r="K200" s="291">
        <v>4571</v>
      </c>
      <c r="L200" s="291" t="s">
        <v>624</v>
      </c>
      <c r="M200" s="291" t="s">
        <v>743</v>
      </c>
      <c r="N200" s="291">
        <v>0</v>
      </c>
      <c r="O200" s="291">
        <v>21074</v>
      </c>
      <c r="P200" s="291">
        <v>0</v>
      </c>
      <c r="Q200" s="291">
        <v>47.31</v>
      </c>
      <c r="R200" s="291">
        <v>-21121.31</v>
      </c>
      <c r="S200" s="291">
        <v>0</v>
      </c>
      <c r="U200" s="70"/>
      <c r="V200" s="47"/>
      <c r="W200" s="37">
        <v>0</v>
      </c>
    </row>
    <row r="201" spans="1:23" ht="14.25" customHeight="1">
      <c r="A201" s="291">
        <v>4505</v>
      </c>
      <c r="B201" s="291" t="s">
        <v>334</v>
      </c>
      <c r="C201" s="291" t="s">
        <v>725</v>
      </c>
      <c r="D201" s="291">
        <v>0</v>
      </c>
      <c r="E201" s="291">
        <v>5795</v>
      </c>
      <c r="F201" s="291">
        <v>0</v>
      </c>
      <c r="G201" s="291">
        <v>-7998.51</v>
      </c>
      <c r="H201" s="291">
        <v>2203.51</v>
      </c>
      <c r="I201" s="291">
        <v>0</v>
      </c>
      <c r="K201" s="291">
        <v>4505</v>
      </c>
      <c r="L201" s="291" t="s">
        <v>334</v>
      </c>
      <c r="M201" s="291" t="s">
        <v>725</v>
      </c>
      <c r="N201" s="291">
        <v>0</v>
      </c>
      <c r="O201" s="291">
        <v>0</v>
      </c>
      <c r="P201" s="291">
        <v>0</v>
      </c>
      <c r="Q201" s="291">
        <v>-5020.5</v>
      </c>
      <c r="R201" s="291">
        <v>5020.5</v>
      </c>
      <c r="S201" s="291">
        <v>0</v>
      </c>
      <c r="U201" s="70"/>
      <c r="V201" s="47"/>
      <c r="W201" s="37">
        <v>0</v>
      </c>
    </row>
    <row r="202" spans="1:23" ht="14.25" customHeight="1">
      <c r="A202" s="291">
        <v>4519</v>
      </c>
      <c r="B202" s="291" t="s">
        <v>336</v>
      </c>
      <c r="C202" s="291" t="s">
        <v>726</v>
      </c>
      <c r="D202" s="291">
        <v>0</v>
      </c>
      <c r="E202" s="291">
        <v>0</v>
      </c>
      <c r="F202" s="291">
        <v>0</v>
      </c>
      <c r="G202" s="291">
        <v>0</v>
      </c>
      <c r="H202" s="291">
        <v>0</v>
      </c>
      <c r="I202" s="291">
        <v>0</v>
      </c>
      <c r="K202" s="291">
        <v>4519</v>
      </c>
      <c r="L202" s="291" t="s">
        <v>336</v>
      </c>
      <c r="M202" s="291" t="s">
        <v>726</v>
      </c>
      <c r="N202" s="291">
        <v>0</v>
      </c>
      <c r="O202" s="291">
        <v>0</v>
      </c>
      <c r="P202" s="291">
        <v>0</v>
      </c>
      <c r="Q202" s="291">
        <v>0</v>
      </c>
      <c r="R202" s="291">
        <v>0</v>
      </c>
      <c r="S202" s="291">
        <v>0</v>
      </c>
      <c r="U202" s="70"/>
      <c r="V202" s="47"/>
      <c r="W202" s="37">
        <v>0</v>
      </c>
    </row>
    <row r="203" spans="1:23" ht="14.25" customHeight="1">
      <c r="A203" s="291">
        <v>4572</v>
      </c>
      <c r="B203" s="291" t="s">
        <v>646</v>
      </c>
      <c r="C203" s="291" t="s">
        <v>744</v>
      </c>
      <c r="D203" s="291">
        <v>0</v>
      </c>
      <c r="E203" s="291">
        <v>0</v>
      </c>
      <c r="F203" s="291">
        <v>0</v>
      </c>
      <c r="G203" s="291">
        <v>-237.41</v>
      </c>
      <c r="H203" s="291">
        <v>237.41</v>
      </c>
      <c r="I203" s="291">
        <v>0</v>
      </c>
      <c r="K203" s="291">
        <v>4572</v>
      </c>
      <c r="L203" s="291" t="s">
        <v>646</v>
      </c>
      <c r="M203" s="291" t="s">
        <v>744</v>
      </c>
      <c r="N203" s="291">
        <v>0</v>
      </c>
      <c r="O203" s="291">
        <v>0</v>
      </c>
      <c r="P203" s="291">
        <v>0</v>
      </c>
      <c r="Q203" s="291">
        <v>-3578.65</v>
      </c>
      <c r="R203" s="291">
        <v>3578.65</v>
      </c>
      <c r="S203" s="291">
        <v>0</v>
      </c>
      <c r="U203" s="70"/>
      <c r="V203" s="47"/>
      <c r="W203" s="37">
        <v>0</v>
      </c>
    </row>
    <row r="204" spans="1:23" ht="14.25" customHeight="1">
      <c r="A204" s="291">
        <v>4576</v>
      </c>
      <c r="B204" s="291" t="s">
        <v>648</v>
      </c>
      <c r="C204" s="291" t="s">
        <v>649</v>
      </c>
      <c r="D204" s="291">
        <v>0</v>
      </c>
      <c r="E204" s="291">
        <v>0</v>
      </c>
      <c r="F204" s="291">
        <v>0</v>
      </c>
      <c r="G204" s="291">
        <v>0</v>
      </c>
      <c r="H204" s="291">
        <v>0</v>
      </c>
      <c r="I204" s="291">
        <v>0</v>
      </c>
      <c r="K204" s="291">
        <v>4576</v>
      </c>
      <c r="L204" s="291" t="s">
        <v>648</v>
      </c>
      <c r="M204" s="291" t="s">
        <v>649</v>
      </c>
      <c r="N204" s="291">
        <v>0</v>
      </c>
      <c r="O204" s="291">
        <v>0</v>
      </c>
      <c r="P204" s="291">
        <v>0</v>
      </c>
      <c r="Q204" s="291">
        <v>0</v>
      </c>
      <c r="R204" s="291">
        <v>0</v>
      </c>
      <c r="S204" s="291">
        <v>0</v>
      </c>
      <c r="U204" s="70"/>
      <c r="V204" s="47"/>
      <c r="W204" s="37">
        <v>0</v>
      </c>
    </row>
    <row r="205" spans="1:23" ht="14.25" customHeight="1">
      <c r="A205" s="291">
        <v>4532</v>
      </c>
      <c r="B205" s="291" t="s">
        <v>338</v>
      </c>
      <c r="C205" s="291" t="s">
        <v>764</v>
      </c>
      <c r="D205" s="291">
        <v>0</v>
      </c>
      <c r="E205" s="291">
        <v>0</v>
      </c>
      <c r="F205" s="291">
        <v>0</v>
      </c>
      <c r="G205" s="291">
        <v>0</v>
      </c>
      <c r="H205" s="291">
        <v>0</v>
      </c>
      <c r="I205" s="291">
        <v>0</v>
      </c>
      <c r="K205" s="291">
        <v>4532</v>
      </c>
      <c r="L205" s="291" t="s">
        <v>338</v>
      </c>
      <c r="M205" s="291" t="s">
        <v>727</v>
      </c>
      <c r="N205" s="291">
        <v>0</v>
      </c>
      <c r="O205" s="291">
        <v>0</v>
      </c>
      <c r="P205" s="291">
        <v>0</v>
      </c>
      <c r="Q205" s="291">
        <v>0</v>
      </c>
      <c r="R205" s="291">
        <v>0</v>
      </c>
      <c r="S205" s="291">
        <v>0</v>
      </c>
      <c r="U205" s="70"/>
      <c r="V205" s="47"/>
      <c r="W205" s="37">
        <v>0</v>
      </c>
    </row>
    <row r="206" spans="1:23" ht="14.25" customHeight="1">
      <c r="A206" s="291">
        <v>4591</v>
      </c>
      <c r="B206" s="291" t="s">
        <v>340</v>
      </c>
      <c r="C206" s="291" t="s">
        <v>728</v>
      </c>
      <c r="D206" s="291">
        <v>0</v>
      </c>
      <c r="E206" s="291">
        <v>0</v>
      </c>
      <c r="F206" s="291">
        <v>0</v>
      </c>
      <c r="G206" s="291">
        <v>0</v>
      </c>
      <c r="H206" s="291">
        <v>0</v>
      </c>
      <c r="I206" s="291">
        <v>0</v>
      </c>
      <c r="K206" s="291">
        <v>4591</v>
      </c>
      <c r="L206" s="291" t="s">
        <v>340</v>
      </c>
      <c r="M206" s="291" t="s">
        <v>728</v>
      </c>
      <c r="N206" s="291">
        <v>0</v>
      </c>
      <c r="O206" s="291">
        <v>0</v>
      </c>
      <c r="P206" s="291">
        <v>0</v>
      </c>
      <c r="Q206" s="291">
        <v>0</v>
      </c>
      <c r="R206" s="291">
        <v>0</v>
      </c>
      <c r="S206" s="291">
        <v>0</v>
      </c>
      <c r="U206" s="70"/>
      <c r="V206" s="47"/>
      <c r="W206" s="37">
        <v>0</v>
      </c>
    </row>
    <row r="207" spans="1:23" ht="14.25" customHeight="1">
      <c r="A207" s="291">
        <v>4583</v>
      </c>
      <c r="B207" s="291" t="s">
        <v>650</v>
      </c>
      <c r="C207" s="291" t="s">
        <v>729</v>
      </c>
      <c r="D207" s="291">
        <v>0</v>
      </c>
      <c r="E207" s="291">
        <v>0</v>
      </c>
      <c r="F207" s="291">
        <v>0</v>
      </c>
      <c r="G207" s="291">
        <v>0</v>
      </c>
      <c r="H207" s="291">
        <v>0</v>
      </c>
      <c r="I207" s="291">
        <v>0</v>
      </c>
      <c r="K207" s="291">
        <v>4583</v>
      </c>
      <c r="L207" s="291" t="s">
        <v>650</v>
      </c>
      <c r="M207" s="291" t="s">
        <v>729</v>
      </c>
      <c r="N207" s="291">
        <v>0</v>
      </c>
      <c r="O207" s="291">
        <v>0</v>
      </c>
      <c r="P207" s="291">
        <v>0</v>
      </c>
      <c r="Q207" s="291">
        <v>-89.7</v>
      </c>
      <c r="R207" s="291">
        <v>89.7</v>
      </c>
      <c r="S207" s="291">
        <v>0</v>
      </c>
      <c r="U207" s="70"/>
      <c r="V207" s="47"/>
      <c r="W207" s="37">
        <v>0</v>
      </c>
    </row>
    <row r="208" spans="1:23" ht="14.25" customHeight="1">
      <c r="A208" s="291">
        <v>4504</v>
      </c>
      <c r="B208" s="291" t="s">
        <v>344</v>
      </c>
      <c r="C208" s="291" t="s">
        <v>730</v>
      </c>
      <c r="D208" s="291">
        <v>0</v>
      </c>
      <c r="E208" s="291">
        <v>0</v>
      </c>
      <c r="F208" s="291">
        <v>0</v>
      </c>
      <c r="G208" s="291">
        <v>0</v>
      </c>
      <c r="H208" s="291">
        <v>0</v>
      </c>
      <c r="I208" s="291">
        <v>0</v>
      </c>
      <c r="K208" s="291">
        <v>4504</v>
      </c>
      <c r="L208" s="291" t="s">
        <v>344</v>
      </c>
      <c r="M208" s="291" t="s">
        <v>730</v>
      </c>
      <c r="N208" s="291">
        <v>0</v>
      </c>
      <c r="O208" s="291">
        <v>0</v>
      </c>
      <c r="P208" s="291">
        <v>0</v>
      </c>
      <c r="Q208" s="291">
        <v>0</v>
      </c>
      <c r="R208" s="291">
        <v>0</v>
      </c>
      <c r="S208" s="291">
        <v>0</v>
      </c>
      <c r="U208" s="70"/>
      <c r="V208" s="47"/>
      <c r="W208" s="37">
        <v>0</v>
      </c>
    </row>
    <row r="209" spans="1:23" ht="14.25" customHeight="1">
      <c r="A209" s="291">
        <v>4533</v>
      </c>
      <c r="B209" s="291" t="s">
        <v>346</v>
      </c>
      <c r="C209" s="291" t="s">
        <v>652</v>
      </c>
      <c r="D209" s="291">
        <v>0</v>
      </c>
      <c r="E209" s="291">
        <v>0</v>
      </c>
      <c r="F209" s="291">
        <v>0</v>
      </c>
      <c r="G209" s="291">
        <v>0</v>
      </c>
      <c r="H209" s="291">
        <v>0</v>
      </c>
      <c r="I209" s="291">
        <v>0</v>
      </c>
      <c r="K209" s="291">
        <v>4533</v>
      </c>
      <c r="L209" s="291" t="s">
        <v>346</v>
      </c>
      <c r="M209" s="291" t="s">
        <v>652</v>
      </c>
      <c r="N209" s="291">
        <v>0</v>
      </c>
      <c r="O209" s="291">
        <v>0</v>
      </c>
      <c r="P209" s="291">
        <v>0</v>
      </c>
      <c r="Q209" s="291">
        <v>0</v>
      </c>
      <c r="R209" s="291">
        <v>0</v>
      </c>
      <c r="S209" s="291">
        <v>0</v>
      </c>
      <c r="U209" s="70"/>
      <c r="V209" s="47"/>
      <c r="W209" s="37">
        <v>0</v>
      </c>
    </row>
    <row r="210" spans="1:23" ht="14.25" customHeight="1">
      <c r="A210" s="291">
        <v>4420</v>
      </c>
      <c r="B210" s="291" t="s">
        <v>348</v>
      </c>
      <c r="C210" s="291" t="s">
        <v>731</v>
      </c>
      <c r="D210" s="291">
        <v>0</v>
      </c>
      <c r="E210" s="291">
        <v>0</v>
      </c>
      <c r="F210" s="291">
        <v>0</v>
      </c>
      <c r="G210" s="291">
        <v>0</v>
      </c>
      <c r="H210" s="291">
        <v>0</v>
      </c>
      <c r="I210" s="291">
        <v>0</v>
      </c>
      <c r="K210" s="291">
        <v>4420</v>
      </c>
      <c r="L210" s="291" t="s">
        <v>348</v>
      </c>
      <c r="M210" s="291" t="s">
        <v>731</v>
      </c>
      <c r="N210" s="291">
        <v>0</v>
      </c>
      <c r="O210" s="291">
        <v>0</v>
      </c>
      <c r="P210" s="291">
        <v>0</v>
      </c>
      <c r="Q210" s="291">
        <v>0</v>
      </c>
      <c r="R210" s="291">
        <v>0</v>
      </c>
      <c r="S210" s="291">
        <v>0</v>
      </c>
      <c r="U210" s="70"/>
      <c r="V210" s="47"/>
      <c r="W210" s="37">
        <v>0</v>
      </c>
    </row>
    <row r="211" spans="1:23" ht="14.25" customHeight="1">
      <c r="A211" s="291">
        <v>4578</v>
      </c>
      <c r="B211" s="291" t="s">
        <v>653</v>
      </c>
      <c r="C211" s="291" t="s">
        <v>654</v>
      </c>
      <c r="D211" s="291">
        <v>0</v>
      </c>
      <c r="E211" s="291">
        <v>0</v>
      </c>
      <c r="F211" s="291">
        <v>0</v>
      </c>
      <c r="G211" s="291">
        <v>-26.05</v>
      </c>
      <c r="H211" s="291">
        <v>26.05</v>
      </c>
      <c r="I211" s="291">
        <v>0</v>
      </c>
      <c r="K211" s="291">
        <v>4578</v>
      </c>
      <c r="L211" s="291" t="s">
        <v>653</v>
      </c>
      <c r="M211" s="291" t="s">
        <v>654</v>
      </c>
      <c r="N211" s="291">
        <v>0</v>
      </c>
      <c r="O211" s="291">
        <v>0</v>
      </c>
      <c r="P211" s="291">
        <v>0</v>
      </c>
      <c r="Q211" s="291">
        <v>-26.05</v>
      </c>
      <c r="R211" s="291">
        <v>26.05</v>
      </c>
      <c r="S211" s="291">
        <v>0</v>
      </c>
      <c r="U211" s="70"/>
      <c r="V211" s="47"/>
      <c r="W211" s="37">
        <v>0</v>
      </c>
    </row>
    <row r="212" spans="1:23" ht="14.25" customHeight="1">
      <c r="A212" s="291">
        <v>4579</v>
      </c>
      <c r="B212" s="291" t="s">
        <v>655</v>
      </c>
      <c r="C212" s="291" t="s">
        <v>656</v>
      </c>
      <c r="D212" s="291">
        <v>0</v>
      </c>
      <c r="E212" s="291">
        <v>0</v>
      </c>
      <c r="F212" s="291">
        <v>0</v>
      </c>
      <c r="G212" s="291">
        <v>0</v>
      </c>
      <c r="H212" s="291">
        <v>0</v>
      </c>
      <c r="I212" s="291">
        <v>0</v>
      </c>
      <c r="K212" s="291">
        <v>4579</v>
      </c>
      <c r="L212" s="291" t="s">
        <v>655</v>
      </c>
      <c r="M212" s="291" t="s">
        <v>656</v>
      </c>
      <c r="N212" s="291">
        <v>0</v>
      </c>
      <c r="O212" s="291">
        <v>0</v>
      </c>
      <c r="P212" s="291">
        <v>0</v>
      </c>
      <c r="Q212" s="291">
        <v>0</v>
      </c>
      <c r="R212" s="291">
        <v>0</v>
      </c>
      <c r="S212" s="291">
        <v>0</v>
      </c>
      <c r="U212" s="70"/>
      <c r="V212" s="47"/>
      <c r="W212" s="37">
        <v>0</v>
      </c>
    </row>
    <row r="213" spans="1:23" ht="14.25" customHeight="1">
      <c r="A213" s="291">
        <v>4584</v>
      </c>
      <c r="B213" s="291" t="s">
        <v>657</v>
      </c>
      <c r="C213" s="291" t="s">
        <v>658</v>
      </c>
      <c r="D213" s="291">
        <v>0</v>
      </c>
      <c r="E213" s="291">
        <v>0</v>
      </c>
      <c r="F213" s="291">
        <v>0</v>
      </c>
      <c r="G213" s="291">
        <v>0</v>
      </c>
      <c r="H213" s="291">
        <v>0</v>
      </c>
      <c r="I213" s="291">
        <v>0</v>
      </c>
      <c r="K213" s="291">
        <v>4584</v>
      </c>
      <c r="L213" s="291" t="s">
        <v>657</v>
      </c>
      <c r="M213" s="291" t="s">
        <v>658</v>
      </c>
      <c r="N213" s="291">
        <v>0</v>
      </c>
      <c r="O213" s="291">
        <v>0</v>
      </c>
      <c r="P213" s="291">
        <v>0</v>
      </c>
      <c r="Q213" s="291">
        <v>0</v>
      </c>
      <c r="R213" s="291">
        <v>0</v>
      </c>
      <c r="S213" s="291">
        <v>0</v>
      </c>
      <c r="U213" s="70"/>
      <c r="V213" s="47"/>
      <c r="W213" s="37">
        <v>0</v>
      </c>
    </row>
    <row r="214" spans="1:23" ht="14.25" customHeight="1">
      <c r="A214" s="291">
        <v>4585</v>
      </c>
      <c r="B214" s="291" t="s">
        <v>659</v>
      </c>
      <c r="C214" s="291" t="s">
        <v>660</v>
      </c>
      <c r="D214" s="291">
        <v>0</v>
      </c>
      <c r="E214" s="291">
        <v>0</v>
      </c>
      <c r="F214" s="291">
        <v>0</v>
      </c>
      <c r="G214" s="291">
        <v>0</v>
      </c>
      <c r="H214" s="291">
        <v>0</v>
      </c>
      <c r="I214" s="291">
        <v>0</v>
      </c>
      <c r="K214" s="291">
        <v>4585</v>
      </c>
      <c r="L214" s="291" t="s">
        <v>659</v>
      </c>
      <c r="M214" s="291" t="s">
        <v>660</v>
      </c>
      <c r="N214" s="291">
        <v>0</v>
      </c>
      <c r="O214" s="291">
        <v>0</v>
      </c>
      <c r="P214" s="291">
        <v>0</v>
      </c>
      <c r="Q214" s="291">
        <v>0</v>
      </c>
      <c r="R214" s="291">
        <v>0</v>
      </c>
      <c r="S214" s="291">
        <v>0</v>
      </c>
      <c r="U214" s="70"/>
      <c r="V214" s="47"/>
      <c r="W214" s="37">
        <v>0</v>
      </c>
    </row>
    <row r="215" spans="1:23" ht="14.25" customHeight="1">
      <c r="A215" s="291">
        <v>4586</v>
      </c>
      <c r="B215" s="291" t="s">
        <v>661</v>
      </c>
      <c r="C215" s="291" t="s">
        <v>662</v>
      </c>
      <c r="D215" s="291">
        <v>0</v>
      </c>
      <c r="E215" s="291">
        <v>0</v>
      </c>
      <c r="F215" s="291">
        <v>0</v>
      </c>
      <c r="G215" s="291">
        <v>0</v>
      </c>
      <c r="H215" s="291">
        <v>0</v>
      </c>
      <c r="I215" s="291">
        <v>0</v>
      </c>
      <c r="K215" s="291">
        <v>4586</v>
      </c>
      <c r="L215" s="291" t="s">
        <v>661</v>
      </c>
      <c r="M215" s="291" t="s">
        <v>662</v>
      </c>
      <c r="N215" s="291">
        <v>0</v>
      </c>
      <c r="O215" s="291">
        <v>0</v>
      </c>
      <c r="P215" s="291">
        <v>0</v>
      </c>
      <c r="Q215" s="291">
        <v>0</v>
      </c>
      <c r="R215" s="291">
        <v>0</v>
      </c>
      <c r="S215" s="291">
        <v>0</v>
      </c>
      <c r="U215" s="70"/>
      <c r="V215" s="47"/>
      <c r="W215" s="37">
        <v>0</v>
      </c>
    </row>
    <row r="216" spans="1:23" ht="14.25" customHeight="1">
      <c r="A216" s="291">
        <v>4523</v>
      </c>
      <c r="B216" s="291" t="s">
        <v>354</v>
      </c>
      <c r="C216" s="291" t="s">
        <v>732</v>
      </c>
      <c r="D216" s="291">
        <v>0</v>
      </c>
      <c r="E216" s="291">
        <v>0</v>
      </c>
      <c r="F216" s="291">
        <v>0</v>
      </c>
      <c r="G216" s="291">
        <v>0</v>
      </c>
      <c r="H216" s="291">
        <v>0</v>
      </c>
      <c r="I216" s="291">
        <v>0</v>
      </c>
      <c r="K216" s="291">
        <v>4523</v>
      </c>
      <c r="L216" s="291" t="s">
        <v>354</v>
      </c>
      <c r="M216" s="291" t="s">
        <v>732</v>
      </c>
      <c r="N216" s="291">
        <v>0</v>
      </c>
      <c r="O216" s="291">
        <v>0</v>
      </c>
      <c r="P216" s="291">
        <v>0</v>
      </c>
      <c r="Q216" s="291">
        <v>0</v>
      </c>
      <c r="R216" s="291">
        <v>0</v>
      </c>
      <c r="S216" s="291">
        <v>0</v>
      </c>
      <c r="U216" s="70"/>
      <c r="V216" s="47"/>
      <c r="W216" s="37">
        <v>88</v>
      </c>
    </row>
    <row r="217" spans="1:23" ht="14.25" customHeight="1">
      <c r="A217" s="291">
        <v>4524</v>
      </c>
      <c r="B217" s="291" t="s">
        <v>358</v>
      </c>
      <c r="C217" s="291" t="s">
        <v>594</v>
      </c>
      <c r="D217" s="291">
        <v>0</v>
      </c>
      <c r="E217" s="291">
        <v>0</v>
      </c>
      <c r="F217" s="291">
        <v>0</v>
      </c>
      <c r="G217" s="291">
        <v>0</v>
      </c>
      <c r="H217" s="291">
        <v>0</v>
      </c>
      <c r="I217" s="291">
        <v>0</v>
      </c>
      <c r="K217" s="291">
        <v>4524</v>
      </c>
      <c r="L217" s="291" t="s">
        <v>358</v>
      </c>
      <c r="M217" s="291" t="s">
        <v>594</v>
      </c>
      <c r="N217" s="291">
        <v>0</v>
      </c>
      <c r="O217" s="291">
        <v>0</v>
      </c>
      <c r="P217" s="291">
        <v>0</v>
      </c>
      <c r="Q217" s="291">
        <v>0</v>
      </c>
      <c r="R217" s="291">
        <v>0</v>
      </c>
      <c r="S217" s="291">
        <v>0</v>
      </c>
      <c r="U217" s="70"/>
      <c r="V217" s="47"/>
      <c r="W217" s="37">
        <v>0</v>
      </c>
    </row>
    <row r="218" spans="1:23" ht="14.25" customHeight="1">
      <c r="A218" s="326">
        <v>4534</v>
      </c>
      <c r="B218" s="326" t="s">
        <v>360</v>
      </c>
      <c r="C218" s="326" t="s">
        <v>663</v>
      </c>
      <c r="D218" s="326">
        <v>0</v>
      </c>
      <c r="E218" s="326">
        <v>0</v>
      </c>
      <c r="F218" s="326">
        <v>0</v>
      </c>
      <c r="G218" s="326">
        <v>0</v>
      </c>
      <c r="H218" s="326">
        <v>0</v>
      </c>
      <c r="I218" s="326">
        <v>0</v>
      </c>
      <c r="K218" s="326">
        <v>4534</v>
      </c>
      <c r="L218" s="326" t="s">
        <v>360</v>
      </c>
      <c r="M218" s="326" t="s">
        <v>663</v>
      </c>
      <c r="N218" s="326">
        <v>0</v>
      </c>
      <c r="O218" s="326">
        <v>0</v>
      </c>
      <c r="P218" s="326">
        <v>0</v>
      </c>
      <c r="Q218" s="326">
        <v>0</v>
      </c>
      <c r="R218" s="326">
        <v>0</v>
      </c>
      <c r="S218" s="326">
        <v>0</v>
      </c>
      <c r="U218" s="70"/>
      <c r="V218" s="47"/>
      <c r="W218" s="37">
        <v>0</v>
      </c>
    </row>
    <row r="219" spans="1:23" ht="14.25" customHeight="1">
      <c r="A219" s="326">
        <v>4520</v>
      </c>
      <c r="B219" s="326" t="s">
        <v>362</v>
      </c>
      <c r="C219" s="326" t="s">
        <v>765</v>
      </c>
      <c r="D219" s="326">
        <v>0</v>
      </c>
      <c r="E219" s="326">
        <v>0</v>
      </c>
      <c r="F219" s="326">
        <v>0</v>
      </c>
      <c r="G219" s="326">
        <v>24</v>
      </c>
      <c r="H219" s="326">
        <v>-24</v>
      </c>
      <c r="I219" s="326">
        <v>0</v>
      </c>
      <c r="K219" s="326">
        <v>4520</v>
      </c>
      <c r="L219" s="326" t="s">
        <v>362</v>
      </c>
      <c r="M219" s="326" t="s">
        <v>664</v>
      </c>
      <c r="N219" s="326">
        <v>0</v>
      </c>
      <c r="O219" s="326">
        <v>0</v>
      </c>
      <c r="P219" s="326">
        <v>0</v>
      </c>
      <c r="Q219" s="326">
        <v>0</v>
      </c>
      <c r="R219" s="326">
        <v>0</v>
      </c>
      <c r="S219" s="326">
        <v>0</v>
      </c>
      <c r="U219" s="70"/>
      <c r="V219" s="47"/>
      <c r="W219" s="37">
        <v>0</v>
      </c>
    </row>
    <row r="220" spans="1:23" ht="14.25" customHeight="1">
      <c r="A220" s="326">
        <v>4513</v>
      </c>
      <c r="B220" s="326" t="s">
        <v>366</v>
      </c>
      <c r="C220" s="326" t="s">
        <v>766</v>
      </c>
      <c r="D220" s="326">
        <v>0</v>
      </c>
      <c r="E220" s="326">
        <v>0</v>
      </c>
      <c r="F220" s="326">
        <v>0</v>
      </c>
      <c r="G220" s="326">
        <v>0</v>
      </c>
      <c r="H220" s="326">
        <v>0</v>
      </c>
      <c r="I220" s="326">
        <v>0</v>
      </c>
      <c r="K220" s="326">
        <v>4513</v>
      </c>
      <c r="L220" s="326" t="s">
        <v>366</v>
      </c>
      <c r="M220" s="326" t="s">
        <v>578</v>
      </c>
      <c r="N220" s="326">
        <v>0</v>
      </c>
      <c r="O220" s="326">
        <v>0</v>
      </c>
      <c r="P220" s="326">
        <v>0</v>
      </c>
      <c r="Q220" s="326">
        <v>0</v>
      </c>
      <c r="R220" s="326">
        <v>0</v>
      </c>
      <c r="S220" s="326">
        <v>0</v>
      </c>
      <c r="U220" s="70"/>
      <c r="V220" s="47"/>
      <c r="W220" s="37">
        <v>0</v>
      </c>
    </row>
    <row r="221" spans="1:23" ht="14.25" customHeight="1">
      <c r="A221" s="326">
        <v>4535</v>
      </c>
      <c r="B221" s="326" t="s">
        <v>368</v>
      </c>
      <c r="C221" s="326" t="s">
        <v>733</v>
      </c>
      <c r="D221" s="326">
        <v>0</v>
      </c>
      <c r="E221" s="326">
        <v>0</v>
      </c>
      <c r="F221" s="326">
        <v>0</v>
      </c>
      <c r="G221" s="326">
        <v>0</v>
      </c>
      <c r="H221" s="326">
        <v>0</v>
      </c>
      <c r="I221" s="326">
        <v>0</v>
      </c>
      <c r="K221" s="326">
        <v>4535</v>
      </c>
      <c r="L221" s="326" t="s">
        <v>368</v>
      </c>
      <c r="M221" s="326" t="s">
        <v>733</v>
      </c>
      <c r="N221" s="326">
        <v>0</v>
      </c>
      <c r="O221" s="326">
        <v>0</v>
      </c>
      <c r="P221" s="326">
        <v>0</v>
      </c>
      <c r="Q221" s="326">
        <v>0</v>
      </c>
      <c r="R221" s="326">
        <v>0</v>
      </c>
      <c r="S221" s="326">
        <v>0</v>
      </c>
      <c r="U221" s="70"/>
      <c r="V221" s="47"/>
      <c r="W221" s="37">
        <v>0</v>
      </c>
    </row>
    <row r="222" spans="1:23" ht="14.25" customHeight="1">
      <c r="A222" s="326">
        <v>4479</v>
      </c>
      <c r="B222" s="326" t="s">
        <v>370</v>
      </c>
      <c r="C222" s="326" t="s">
        <v>734</v>
      </c>
      <c r="D222" s="326">
        <v>0</v>
      </c>
      <c r="E222" s="326">
        <v>0</v>
      </c>
      <c r="F222" s="326">
        <v>0</v>
      </c>
      <c r="G222" s="326">
        <v>0</v>
      </c>
      <c r="H222" s="326">
        <v>0</v>
      </c>
      <c r="I222" s="326">
        <v>0</v>
      </c>
      <c r="K222" s="326">
        <v>4479</v>
      </c>
      <c r="L222" s="326" t="s">
        <v>370</v>
      </c>
      <c r="M222" s="326" t="s">
        <v>734</v>
      </c>
      <c r="N222" s="326">
        <v>0</v>
      </c>
      <c r="O222" s="326">
        <v>0</v>
      </c>
      <c r="P222" s="326">
        <v>0</v>
      </c>
      <c r="Q222" s="326">
        <v>0</v>
      </c>
      <c r="R222" s="326">
        <v>0</v>
      </c>
      <c r="S222" s="326">
        <v>0</v>
      </c>
      <c r="U222" s="70"/>
      <c r="V222" s="47"/>
      <c r="W222" s="37">
        <v>0</v>
      </c>
    </row>
    <row r="223" spans="1:23" ht="14.25" customHeight="1">
      <c r="A223" s="326">
        <v>4577</v>
      </c>
      <c r="B223" s="326" t="s">
        <v>665</v>
      </c>
      <c r="C223" s="326" t="s">
        <v>666</v>
      </c>
      <c r="D223" s="326">
        <v>0</v>
      </c>
      <c r="E223" s="326">
        <v>0</v>
      </c>
      <c r="F223" s="326">
        <v>0</v>
      </c>
      <c r="G223" s="326">
        <v>-46.12</v>
      </c>
      <c r="H223" s="326">
        <v>46.12</v>
      </c>
      <c r="I223" s="326">
        <v>0</v>
      </c>
      <c r="K223" s="326">
        <v>4577</v>
      </c>
      <c r="L223" s="326" t="s">
        <v>665</v>
      </c>
      <c r="M223" s="326" t="s">
        <v>666</v>
      </c>
      <c r="N223" s="326">
        <v>0</v>
      </c>
      <c r="O223" s="326">
        <v>0</v>
      </c>
      <c r="P223" s="326">
        <v>0</v>
      </c>
      <c r="Q223" s="326">
        <v>-46.12</v>
      </c>
      <c r="R223" s="326">
        <v>46.12</v>
      </c>
      <c r="S223" s="326">
        <v>0</v>
      </c>
      <c r="U223" s="70"/>
      <c r="V223" s="47"/>
      <c r="W223" s="37">
        <v>0</v>
      </c>
    </row>
    <row r="224" spans="1:23" ht="14.25" customHeight="1">
      <c r="A224" s="289"/>
      <c r="B224" s="289"/>
      <c r="C224" s="289"/>
      <c r="D224" s="289"/>
      <c r="E224" s="289"/>
      <c r="F224" s="289"/>
      <c r="G224" s="289"/>
      <c r="H224" s="289"/>
      <c r="I224" s="289"/>
      <c r="K224" s="289">
        <v>4247</v>
      </c>
      <c r="L224" s="289" t="s">
        <v>356</v>
      </c>
      <c r="M224" s="289" t="s">
        <v>575</v>
      </c>
      <c r="N224" s="289">
        <v>0</v>
      </c>
      <c r="O224" s="289">
        <v>0</v>
      </c>
      <c r="P224" s="289">
        <v>0</v>
      </c>
      <c r="Q224" s="289">
        <v>0</v>
      </c>
      <c r="R224" s="289">
        <v>0</v>
      </c>
      <c r="S224" s="289">
        <v>0</v>
      </c>
      <c r="U224" s="70"/>
      <c r="V224" s="47"/>
      <c r="W224" s="37">
        <v>0</v>
      </c>
    </row>
    <row r="225" spans="1:23" ht="14.25" customHeight="1">
      <c r="A225" s="289"/>
      <c r="B225" s="289"/>
      <c r="C225" s="289"/>
      <c r="D225" s="289"/>
      <c r="E225" s="289"/>
      <c r="F225" s="289"/>
      <c r="G225" s="289"/>
      <c r="H225" s="289"/>
      <c r="I225" s="289"/>
      <c r="K225" s="289">
        <v>4301</v>
      </c>
      <c r="L225" s="289" t="s">
        <v>358</v>
      </c>
      <c r="M225" s="289" t="s">
        <v>594</v>
      </c>
      <c r="N225" s="289">
        <v>0</v>
      </c>
      <c r="O225" s="289">
        <v>0</v>
      </c>
      <c r="P225" s="289">
        <v>0</v>
      </c>
      <c r="Q225" s="289">
        <v>0</v>
      </c>
      <c r="R225" s="289">
        <v>0</v>
      </c>
      <c r="S225" s="289">
        <v>0</v>
      </c>
      <c r="U225" s="70"/>
      <c r="V225" s="47"/>
      <c r="W225" s="37">
        <v>0</v>
      </c>
    </row>
    <row r="226" spans="1:23" ht="14.25" customHeight="1">
      <c r="A226" s="289"/>
      <c r="B226" s="289"/>
      <c r="C226" s="289"/>
      <c r="D226" s="289"/>
      <c r="E226" s="289"/>
      <c r="F226" s="289"/>
      <c r="G226" s="289"/>
      <c r="H226" s="289"/>
      <c r="I226" s="289"/>
      <c r="K226" s="289">
        <v>4312</v>
      </c>
      <c r="L226" s="289" t="s">
        <v>360</v>
      </c>
      <c r="M226" s="289" t="s">
        <v>663</v>
      </c>
      <c r="N226" s="289">
        <v>0</v>
      </c>
      <c r="O226" s="289">
        <v>0</v>
      </c>
      <c r="P226" s="289">
        <v>0</v>
      </c>
      <c r="Q226" s="289">
        <v>0</v>
      </c>
      <c r="R226" s="289">
        <v>0</v>
      </c>
      <c r="S226" s="289">
        <v>0</v>
      </c>
      <c r="U226" s="70"/>
      <c r="V226" s="47"/>
      <c r="W226" s="37">
        <v>0</v>
      </c>
    </row>
    <row r="227" spans="1:23" ht="14.25" customHeight="1">
      <c r="A227" s="289"/>
      <c r="B227" s="289"/>
      <c r="C227" s="289"/>
      <c r="D227" s="289"/>
      <c r="E227" s="289"/>
      <c r="F227" s="289"/>
      <c r="G227" s="289"/>
      <c r="H227" s="289"/>
      <c r="I227" s="289"/>
      <c r="K227" s="289">
        <v>4297</v>
      </c>
      <c r="L227" s="289" t="s">
        <v>362</v>
      </c>
      <c r="M227" s="289" t="s">
        <v>664</v>
      </c>
      <c r="N227" s="289">
        <v>0</v>
      </c>
      <c r="O227" s="289">
        <v>0</v>
      </c>
      <c r="P227" s="289">
        <v>0</v>
      </c>
      <c r="Q227" s="289">
        <v>0</v>
      </c>
      <c r="R227" s="289">
        <v>0</v>
      </c>
      <c r="S227" s="289">
        <v>0</v>
      </c>
      <c r="U227" s="70"/>
      <c r="V227" s="47"/>
      <c r="W227" s="37">
        <v>0</v>
      </c>
    </row>
    <row r="228" spans="1:23" ht="14.25" customHeight="1">
      <c r="A228" s="289"/>
      <c r="B228" s="289"/>
      <c r="C228" s="289"/>
      <c r="D228" s="289"/>
      <c r="E228" s="289"/>
      <c r="F228" s="289"/>
      <c r="G228" s="289"/>
      <c r="H228" s="289"/>
      <c r="I228" s="289"/>
      <c r="K228" s="289">
        <v>4295</v>
      </c>
      <c r="L228" s="289" t="s">
        <v>364</v>
      </c>
      <c r="M228" s="289" t="s">
        <v>577</v>
      </c>
      <c r="N228" s="289">
        <v>0</v>
      </c>
      <c r="O228" s="289">
        <v>0</v>
      </c>
      <c r="P228" s="289">
        <v>0</v>
      </c>
      <c r="Q228" s="289">
        <v>0</v>
      </c>
      <c r="R228" s="289">
        <v>0</v>
      </c>
      <c r="S228" s="289">
        <v>0</v>
      </c>
      <c r="U228" s="70"/>
      <c r="V228" s="47"/>
      <c r="W228" s="37">
        <v>0</v>
      </c>
    </row>
    <row r="229" spans="1:23" ht="14.25" customHeight="1">
      <c r="A229" s="289"/>
      <c r="B229" s="289"/>
      <c r="C229" s="289"/>
      <c r="D229" s="289"/>
      <c r="E229" s="289"/>
      <c r="F229" s="289"/>
      <c r="G229" s="289"/>
      <c r="H229" s="289"/>
      <c r="I229" s="289"/>
      <c r="K229" s="289">
        <v>4289</v>
      </c>
      <c r="L229" s="289" t="s">
        <v>366</v>
      </c>
      <c r="M229" s="289" t="s">
        <v>578</v>
      </c>
      <c r="N229" s="289">
        <v>0</v>
      </c>
      <c r="O229" s="289">
        <v>0</v>
      </c>
      <c r="P229" s="289">
        <v>0</v>
      </c>
      <c r="Q229" s="289">
        <v>0</v>
      </c>
      <c r="R229" s="289">
        <v>0</v>
      </c>
      <c r="S229" s="289">
        <v>0</v>
      </c>
      <c r="U229" s="70"/>
      <c r="V229" s="47"/>
      <c r="W229" s="37">
        <v>0</v>
      </c>
    </row>
    <row r="230" spans="1:23" ht="14.25" customHeight="1">
      <c r="A230" s="289"/>
      <c r="B230" s="289"/>
      <c r="C230" s="289"/>
      <c r="D230" s="289"/>
      <c r="E230" s="289"/>
      <c r="F230" s="289"/>
      <c r="G230" s="289"/>
      <c r="H230" s="289"/>
      <c r="I230" s="289"/>
      <c r="K230" s="289">
        <v>4313</v>
      </c>
      <c r="L230" s="289" t="s">
        <v>368</v>
      </c>
      <c r="M230" s="289" t="s">
        <v>612</v>
      </c>
      <c r="N230" s="289">
        <v>0</v>
      </c>
      <c r="O230" s="289">
        <v>0</v>
      </c>
      <c r="P230" s="289">
        <v>0</v>
      </c>
      <c r="Q230" s="289">
        <v>0</v>
      </c>
      <c r="R230" s="289">
        <v>0</v>
      </c>
      <c r="S230" s="289">
        <v>0</v>
      </c>
      <c r="U230" s="70"/>
      <c r="V230" s="47"/>
      <c r="W230" s="37">
        <v>0</v>
      </c>
    </row>
    <row r="231" spans="1:23" ht="14.25" customHeight="1">
      <c r="A231" s="289"/>
      <c r="B231" s="289"/>
      <c r="C231" s="289"/>
      <c r="D231" s="289"/>
      <c r="E231" s="289"/>
      <c r="F231" s="289"/>
      <c r="G231" s="289"/>
      <c r="H231" s="289"/>
      <c r="I231" s="289"/>
      <c r="K231" s="289">
        <v>4251</v>
      </c>
      <c r="L231" s="289" t="s">
        <v>370</v>
      </c>
      <c r="M231" s="289" t="s">
        <v>580</v>
      </c>
      <c r="N231" s="289">
        <v>0</v>
      </c>
      <c r="O231" s="289">
        <v>0</v>
      </c>
      <c r="P231" s="289">
        <v>0</v>
      </c>
      <c r="Q231" s="289">
        <v>0</v>
      </c>
      <c r="R231" s="289">
        <v>0</v>
      </c>
      <c r="S231" s="289">
        <v>0</v>
      </c>
      <c r="U231" s="70"/>
      <c r="V231" s="47"/>
      <c r="W231" s="37">
        <v>0</v>
      </c>
    </row>
    <row r="232" spans="1:23" ht="14.25" customHeight="1">
      <c r="A232" s="289"/>
      <c r="B232" s="289"/>
      <c r="C232" s="289"/>
      <c r="D232" s="289"/>
      <c r="E232" s="289"/>
      <c r="F232" s="289"/>
      <c r="G232" s="289"/>
      <c r="H232" s="289"/>
      <c r="I232" s="289"/>
      <c r="K232" s="289">
        <v>4357</v>
      </c>
      <c r="L232" s="289" t="s">
        <v>665</v>
      </c>
      <c r="M232" s="289" t="s">
        <v>666</v>
      </c>
      <c r="N232" s="289">
        <v>0</v>
      </c>
      <c r="O232" s="289">
        <v>345</v>
      </c>
      <c r="P232" s="289">
        <v>0</v>
      </c>
      <c r="Q232" s="289">
        <v>-380.36</v>
      </c>
      <c r="R232" s="289">
        <v>35.36</v>
      </c>
      <c r="S232" s="289">
        <v>0</v>
      </c>
      <c r="U232" s="70"/>
      <c r="V232" s="47"/>
      <c r="W232" s="37">
        <v>0</v>
      </c>
    </row>
    <row r="233" spans="1:23" ht="14.25" customHeight="1">
      <c r="A233" s="289"/>
      <c r="B233" s="289"/>
      <c r="C233" s="289"/>
      <c r="D233" s="289"/>
      <c r="E233" s="289"/>
      <c r="F233" s="289"/>
      <c r="G233" s="289"/>
      <c r="H233" s="289"/>
      <c r="I233" s="289"/>
      <c r="K233" s="289"/>
      <c r="L233" s="289"/>
      <c r="M233" s="289"/>
      <c r="N233" s="289"/>
      <c r="O233" s="289"/>
      <c r="P233" s="289"/>
      <c r="Q233" s="289"/>
      <c r="R233" s="289"/>
      <c r="S233" s="289"/>
      <c r="U233" s="70"/>
      <c r="V233" s="47"/>
      <c r="W233" s="37"/>
    </row>
    <row r="234" spans="1:23" ht="14.25" customHeight="1">
      <c r="A234" s="289"/>
      <c r="B234" s="289"/>
      <c r="C234" s="289"/>
      <c r="D234" s="289"/>
      <c r="E234" s="289"/>
      <c r="F234" s="289"/>
      <c r="G234" s="289"/>
      <c r="H234" s="289"/>
      <c r="I234" s="289"/>
      <c r="K234" s="289"/>
      <c r="L234" s="289"/>
      <c r="M234" s="289"/>
      <c r="N234" s="289"/>
      <c r="O234" s="289"/>
      <c r="P234" s="289"/>
      <c r="Q234" s="289"/>
      <c r="R234" s="289"/>
      <c r="S234" s="289"/>
      <c r="U234" s="70"/>
      <c r="V234" s="47"/>
      <c r="W234" s="37"/>
    </row>
    <row r="235" spans="1:23" ht="14.25" customHeight="1">
      <c r="A235" s="289"/>
      <c r="B235" s="289"/>
      <c r="C235" s="289"/>
      <c r="D235" s="289"/>
      <c r="E235" s="289"/>
      <c r="F235" s="289"/>
      <c r="G235" s="289"/>
      <c r="H235" s="289"/>
      <c r="I235" s="289"/>
      <c r="K235" s="289"/>
      <c r="L235" s="289"/>
      <c r="M235" s="289"/>
      <c r="N235" s="289"/>
      <c r="O235" s="289"/>
      <c r="P235" s="289"/>
      <c r="Q235" s="289"/>
      <c r="R235" s="289"/>
      <c r="S235" s="289"/>
      <c r="U235" s="70"/>
      <c r="V235" s="47"/>
      <c r="W235" s="37"/>
    </row>
    <row r="236" spans="1:23" ht="14.25" customHeight="1">
      <c r="A236" s="289"/>
      <c r="B236" s="289"/>
      <c r="C236" s="289"/>
      <c r="D236" s="289"/>
      <c r="E236" s="289"/>
      <c r="F236" s="289"/>
      <c r="G236" s="289"/>
      <c r="H236" s="289"/>
      <c r="I236" s="289"/>
      <c r="K236" s="289"/>
      <c r="L236" s="289"/>
      <c r="M236" s="289"/>
      <c r="N236" s="289"/>
      <c r="O236" s="289"/>
      <c r="P236" s="289"/>
      <c r="Q236" s="289"/>
      <c r="R236" s="289"/>
      <c r="S236" s="289"/>
      <c r="U236" s="70"/>
      <c r="V236" s="47"/>
      <c r="W236" s="37"/>
    </row>
    <row r="237" spans="1:23" ht="14.25" customHeight="1">
      <c r="A237" s="289"/>
      <c r="B237" s="289"/>
      <c r="C237" s="289"/>
      <c r="D237" s="289"/>
      <c r="E237" s="289"/>
      <c r="F237" s="289"/>
      <c r="G237" s="289"/>
      <c r="H237" s="289"/>
      <c r="I237" s="289"/>
      <c r="K237" s="289"/>
      <c r="L237" s="289"/>
      <c r="M237" s="289"/>
      <c r="N237" s="289"/>
      <c r="O237" s="289"/>
      <c r="P237" s="289"/>
      <c r="Q237" s="289"/>
      <c r="R237" s="289"/>
      <c r="S237" s="289"/>
      <c r="U237" s="70"/>
      <c r="V237" s="47"/>
      <c r="W237" s="37"/>
    </row>
    <row r="238" spans="1:23" ht="14.25" customHeight="1">
      <c r="A238" s="289"/>
      <c r="B238" s="289"/>
      <c r="C238" s="289"/>
      <c r="D238" s="289"/>
      <c r="E238" s="289"/>
      <c r="F238" s="289"/>
      <c r="G238" s="289"/>
      <c r="H238" s="289"/>
      <c r="I238" s="289"/>
      <c r="K238" s="289"/>
      <c r="L238" s="289"/>
      <c r="M238" s="289"/>
      <c r="N238" s="289"/>
      <c r="O238" s="289"/>
      <c r="P238" s="289"/>
      <c r="Q238" s="289"/>
      <c r="R238" s="289"/>
      <c r="S238" s="289"/>
      <c r="U238" s="70"/>
      <c r="V238" s="47"/>
      <c r="W238" s="37"/>
    </row>
    <row r="239" spans="1:23" ht="14.25" customHeight="1">
      <c r="A239" s="289"/>
      <c r="B239" s="289"/>
      <c r="C239" s="289"/>
      <c r="D239" s="289"/>
      <c r="E239" s="289"/>
      <c r="F239" s="289"/>
      <c r="G239" s="289"/>
      <c r="H239" s="289"/>
      <c r="I239" s="289"/>
      <c r="K239" s="289"/>
      <c r="L239" s="289"/>
      <c r="M239" s="289"/>
      <c r="N239" s="289"/>
      <c r="O239" s="289"/>
      <c r="P239" s="289"/>
      <c r="Q239" s="289"/>
      <c r="R239" s="289"/>
      <c r="S239" s="289"/>
      <c r="U239" s="70"/>
      <c r="V239" s="47"/>
      <c r="W239" s="37"/>
    </row>
    <row r="240" spans="1:23" ht="14.25" customHeight="1">
      <c r="A240" s="289"/>
      <c r="B240" s="289"/>
      <c r="C240" s="289"/>
      <c r="D240" s="289"/>
      <c r="E240" s="289"/>
      <c r="F240" s="289"/>
      <c r="G240" s="289"/>
      <c r="H240" s="289"/>
      <c r="I240" s="289"/>
      <c r="K240" s="289"/>
      <c r="L240" s="289"/>
      <c r="M240" s="289"/>
      <c r="N240" s="289"/>
      <c r="O240" s="289"/>
      <c r="P240" s="289"/>
      <c r="Q240" s="289"/>
      <c r="R240" s="289"/>
      <c r="S240" s="289"/>
      <c r="U240" s="70"/>
      <c r="V240" s="47"/>
      <c r="W240" s="37"/>
    </row>
    <row r="241" spans="1:23" ht="14.25" customHeight="1">
      <c r="A241" s="289"/>
      <c r="B241" s="289"/>
      <c r="C241" s="289"/>
      <c r="D241" s="289"/>
      <c r="E241" s="289"/>
      <c r="F241" s="289"/>
      <c r="G241" s="289"/>
      <c r="H241" s="289"/>
      <c r="I241" s="289"/>
      <c r="K241" s="289"/>
      <c r="L241" s="289"/>
      <c r="M241" s="289"/>
      <c r="N241" s="289"/>
      <c r="O241" s="289"/>
      <c r="P241" s="289"/>
      <c r="Q241" s="289"/>
      <c r="R241" s="289"/>
      <c r="S241" s="289"/>
      <c r="U241" s="70"/>
      <c r="V241" s="47"/>
      <c r="W241" s="37"/>
    </row>
    <row r="242" spans="1:23" ht="14.25" customHeight="1">
      <c r="A242" s="251"/>
      <c r="B242" s="251"/>
      <c r="C242" s="251"/>
      <c r="D242" s="251"/>
      <c r="E242" s="251"/>
      <c r="F242" s="251"/>
      <c r="G242" s="251"/>
      <c r="H242" s="251"/>
      <c r="I242" s="251"/>
      <c r="K242" s="251"/>
      <c r="L242" s="251"/>
      <c r="M242" s="251"/>
      <c r="N242" s="251"/>
      <c r="O242" s="251"/>
      <c r="P242" s="251"/>
      <c r="Q242" s="251"/>
      <c r="R242" s="251"/>
      <c r="S242" s="251"/>
      <c r="U242" s="70"/>
      <c r="V242" s="47"/>
      <c r="W242" s="37"/>
    </row>
    <row r="243" spans="1:23" ht="14.25" customHeight="1">
      <c r="A243" s="251"/>
      <c r="B243" s="251"/>
      <c r="C243" s="251"/>
      <c r="D243" s="251"/>
      <c r="E243" s="251"/>
      <c r="F243" s="251"/>
      <c r="G243" s="251"/>
      <c r="H243" s="251"/>
      <c r="I243" s="251"/>
      <c r="K243" s="251"/>
      <c r="L243" s="251"/>
      <c r="M243" s="251"/>
      <c r="N243" s="251"/>
      <c r="O243" s="251"/>
      <c r="P243" s="251"/>
      <c r="Q243" s="251"/>
      <c r="R243" s="251"/>
      <c r="S243" s="251"/>
      <c r="U243" s="70"/>
      <c r="V243" s="47"/>
      <c r="W243" s="37"/>
    </row>
    <row r="244" spans="1:23" ht="14.25" customHeight="1">
      <c r="A244" s="251"/>
      <c r="B244" s="251"/>
      <c r="C244" s="251"/>
      <c r="D244" s="251"/>
      <c r="E244" s="251"/>
      <c r="F244" s="251"/>
      <c r="G244" s="251"/>
      <c r="H244" s="251"/>
      <c r="I244" s="251"/>
      <c r="K244" s="251"/>
      <c r="L244" s="251"/>
      <c r="M244" s="251"/>
      <c r="N244" s="251"/>
      <c r="O244" s="251"/>
      <c r="P244" s="251"/>
      <c r="Q244" s="251"/>
      <c r="R244" s="251"/>
      <c r="S244" s="251"/>
      <c r="U244" s="58"/>
      <c r="V244" s="47"/>
      <c r="W244" s="37"/>
    </row>
    <row r="245" spans="1:23" ht="14.25" customHeight="1">
      <c r="A245" s="251"/>
      <c r="B245" s="251"/>
      <c r="C245" s="251"/>
      <c r="D245" s="251"/>
      <c r="E245" s="251"/>
      <c r="F245" s="251"/>
      <c r="G245" s="251"/>
      <c r="H245" s="251"/>
      <c r="I245" s="251"/>
      <c r="K245" s="251"/>
      <c r="L245" s="251"/>
      <c r="M245" s="251"/>
      <c r="N245" s="251"/>
      <c r="O245" s="251"/>
      <c r="P245" s="251"/>
      <c r="Q245" s="251"/>
      <c r="R245" s="251"/>
      <c r="S245" s="251"/>
      <c r="U245" s="70"/>
      <c r="V245" s="47"/>
      <c r="W245" s="37"/>
    </row>
    <row r="246" spans="1:23" ht="14.25" customHeight="1">
      <c r="A246" s="251"/>
      <c r="B246" s="251"/>
      <c r="C246" s="251"/>
      <c r="D246" s="251"/>
      <c r="E246" s="251"/>
      <c r="F246" s="251"/>
      <c r="G246" s="251"/>
      <c r="H246" s="251"/>
      <c r="I246" s="251"/>
      <c r="K246" s="251"/>
      <c r="L246" s="251"/>
      <c r="M246" s="251"/>
      <c r="N246" s="251"/>
      <c r="O246" s="251"/>
      <c r="P246" s="251"/>
      <c r="Q246" s="251"/>
      <c r="R246" s="251"/>
      <c r="S246" s="251"/>
      <c r="U246" s="70"/>
      <c r="V246" s="47"/>
      <c r="W246" s="37"/>
    </row>
    <row r="247" spans="21:23" ht="14.25" customHeight="1">
      <c r="U247" s="70"/>
      <c r="V247" s="47"/>
      <c r="W247" s="37"/>
    </row>
    <row r="248" spans="21:23" ht="14.25" customHeight="1">
      <c r="U248" s="70"/>
      <c r="V248" s="47"/>
      <c r="W248" s="37"/>
    </row>
    <row r="249" spans="21:23" ht="14.25" customHeight="1">
      <c r="U249" s="70"/>
      <c r="V249" s="47"/>
      <c r="W249" s="37"/>
    </row>
    <row r="250" spans="21:23" ht="14.25" customHeight="1">
      <c r="U250" s="58"/>
      <c r="V250" s="47"/>
      <c r="W250" s="37"/>
    </row>
    <row r="251" spans="21:23" ht="14.25" customHeight="1">
      <c r="U251" s="70"/>
      <c r="V251" s="47"/>
      <c r="W251" s="37"/>
    </row>
    <row r="252" spans="21:23" ht="14.25" customHeight="1">
      <c r="U252" s="70"/>
      <c r="V252" s="47"/>
      <c r="W252" s="37"/>
    </row>
    <row r="253" spans="21:23" ht="14.25" customHeight="1">
      <c r="U253" s="70"/>
      <c r="V253" s="47"/>
      <c r="W253" s="37"/>
    </row>
    <row r="254" spans="21:23" ht="14.25" customHeight="1">
      <c r="U254" s="70"/>
      <c r="V254" s="47"/>
      <c r="W254" s="37"/>
    </row>
    <row r="255" spans="21:23" ht="14.25" customHeight="1">
      <c r="U255" s="70"/>
      <c r="V255" s="47"/>
      <c r="W255" s="37"/>
    </row>
    <row r="256" spans="21:23" ht="14.25" customHeight="1">
      <c r="U256" s="70"/>
      <c r="V256" s="47"/>
      <c r="W256" s="37"/>
    </row>
    <row r="257" spans="21:23" ht="14.25" customHeight="1">
      <c r="U257" s="70"/>
      <c r="V257" s="47"/>
      <c r="W257" s="37"/>
    </row>
    <row r="258" spans="21:23" ht="14.25" customHeight="1">
      <c r="U258" s="70"/>
      <c r="V258" s="47"/>
      <c r="W258" s="37"/>
    </row>
    <row r="259" spans="21:23" ht="14.25" customHeight="1">
      <c r="U259" s="70"/>
      <c r="V259" s="47"/>
      <c r="W259" s="37"/>
    </row>
    <row r="260" spans="21:23" ht="14.25" customHeight="1">
      <c r="U260" s="70"/>
      <c r="V260" s="47"/>
      <c r="W260" s="37"/>
    </row>
    <row r="261" spans="21:23" ht="14.25" customHeight="1">
      <c r="U261" s="70"/>
      <c r="V261" s="47"/>
      <c r="W261" s="37"/>
    </row>
    <row r="262" spans="21:23" ht="14.25" customHeight="1">
      <c r="U262" s="70"/>
      <c r="V262" s="47"/>
      <c r="W262" s="37"/>
    </row>
    <row r="263" spans="21:23" ht="14.25" customHeight="1">
      <c r="U263" s="70"/>
      <c r="V263" s="47"/>
      <c r="W263" s="37"/>
    </row>
    <row r="264" spans="21:23" ht="14.25" customHeight="1">
      <c r="U264" s="70"/>
      <c r="V264" s="47"/>
      <c r="W264" s="37"/>
    </row>
    <row r="265" spans="21:23" ht="14.25" customHeight="1">
      <c r="U265" s="70"/>
      <c r="V265" s="47"/>
      <c r="W265" s="37"/>
    </row>
    <row r="266" spans="21:23" ht="14.25" customHeight="1">
      <c r="U266" s="70"/>
      <c r="V266" s="47"/>
      <c r="W266" s="37"/>
    </row>
    <row r="267" spans="21:23" ht="14.25" customHeight="1">
      <c r="U267" s="70"/>
      <c r="V267" s="47"/>
      <c r="W267" s="37"/>
    </row>
    <row r="268" spans="21:23" ht="14.25" customHeight="1">
      <c r="U268" s="70"/>
      <c r="V268" s="47"/>
      <c r="W268" s="37"/>
    </row>
    <row r="269" spans="21:23" ht="14.25" customHeight="1">
      <c r="U269" s="70"/>
      <c r="V269" s="47"/>
      <c r="W269" s="37"/>
    </row>
    <row r="270" spans="21:23" ht="14.25" customHeight="1">
      <c r="U270" s="70"/>
      <c r="V270" s="47"/>
      <c r="W270" s="37"/>
    </row>
    <row r="271" spans="21:23" ht="14.25" customHeight="1">
      <c r="U271" s="70"/>
      <c r="V271" s="47"/>
      <c r="W271" s="37"/>
    </row>
    <row r="272" spans="21:23" ht="14.25" customHeight="1">
      <c r="U272" s="70"/>
      <c r="V272" s="47"/>
      <c r="W272" s="37"/>
    </row>
    <row r="273" spans="21:23" ht="14.25" customHeight="1">
      <c r="U273" s="70"/>
      <c r="V273" s="47"/>
      <c r="W273" s="37"/>
    </row>
    <row r="274" spans="21:23" ht="14.25" customHeight="1">
      <c r="U274" s="70"/>
      <c r="V274" s="47"/>
      <c r="W274" s="37"/>
    </row>
    <row r="275" spans="21:23" ht="14.25" customHeight="1">
      <c r="U275" s="70"/>
      <c r="V275" s="47"/>
      <c r="W275" s="37"/>
    </row>
    <row r="276" spans="21:23" ht="14.25" customHeight="1">
      <c r="U276" s="70"/>
      <c r="V276" s="47"/>
      <c r="W276" s="37"/>
    </row>
    <row r="277" spans="21:23" ht="14.25" customHeight="1">
      <c r="U277" s="70"/>
      <c r="V277" s="47"/>
      <c r="W277" s="37"/>
    </row>
    <row r="278" spans="21:23" ht="14.25" customHeight="1">
      <c r="U278" s="70"/>
      <c r="V278" s="47"/>
      <c r="W278" s="37"/>
    </row>
    <row r="279" spans="21:23" ht="14.25" customHeight="1">
      <c r="U279" s="70"/>
      <c r="V279" s="47"/>
      <c r="W279" s="37"/>
    </row>
    <row r="280" spans="21:23" ht="14.25" customHeight="1">
      <c r="U280" s="70"/>
      <c r="V280" s="47"/>
      <c r="W280" s="37"/>
    </row>
    <row r="281" spans="21:23" ht="14.25" customHeight="1">
      <c r="U281" s="70"/>
      <c r="V281" s="47"/>
      <c r="W281" s="37"/>
    </row>
    <row r="282" spans="21:23" ht="14.25" customHeight="1">
      <c r="U282" s="70"/>
      <c r="V282" s="47"/>
      <c r="W282" s="37"/>
    </row>
    <row r="283" spans="21:23" ht="14.25" customHeight="1">
      <c r="U283" s="70"/>
      <c r="V283" s="47"/>
      <c r="W283" s="37"/>
    </row>
    <row r="284" spans="21:23" ht="14.25" customHeight="1">
      <c r="U284" s="70"/>
      <c r="V284" s="47"/>
      <c r="W284" s="37"/>
    </row>
    <row r="285" spans="21:23" ht="14.25" customHeight="1">
      <c r="U285" s="70"/>
      <c r="V285" s="47"/>
      <c r="W285" s="37"/>
    </row>
    <row r="286" spans="21:23" ht="14.25" customHeight="1">
      <c r="U286" s="70"/>
      <c r="V286" s="47"/>
      <c r="W286" s="37"/>
    </row>
    <row r="287" spans="21:23" ht="14.25" customHeight="1">
      <c r="U287" s="70"/>
      <c r="V287" s="47"/>
      <c r="W287" s="37"/>
    </row>
    <row r="288" spans="21:23" ht="14.25" customHeight="1">
      <c r="U288" s="70"/>
      <c r="V288" s="47"/>
      <c r="W288" s="37"/>
    </row>
    <row r="289" spans="21:23" ht="14.25" customHeight="1">
      <c r="U289" s="70"/>
      <c r="V289" s="47"/>
      <c r="W289" s="37"/>
    </row>
    <row r="290" spans="21:23" ht="14.25" customHeight="1">
      <c r="U290" s="70"/>
      <c r="V290" s="47"/>
      <c r="W290" s="37"/>
    </row>
    <row r="291" spans="21:23" ht="14.25" customHeight="1">
      <c r="U291" s="70"/>
      <c r="V291" s="47"/>
      <c r="W291" s="37"/>
    </row>
    <row r="292" spans="21:23" ht="14.25" customHeight="1">
      <c r="U292" s="70"/>
      <c r="V292" s="63"/>
      <c r="W292" s="64"/>
    </row>
    <row r="293" spans="21:23" ht="14.25" customHeight="1">
      <c r="U293" s="70"/>
      <c r="V293" s="47"/>
      <c r="W293" s="37"/>
    </row>
    <row r="294" spans="21:23" ht="14.25" customHeight="1">
      <c r="U294" s="70"/>
      <c r="V294" s="47"/>
      <c r="W294" s="37"/>
    </row>
    <row r="295" spans="21:23" ht="14.25" customHeight="1">
      <c r="U295" s="70"/>
      <c r="V295" s="47"/>
      <c r="W295" s="37"/>
    </row>
    <row r="296" spans="21:23" ht="14.25" customHeight="1">
      <c r="U296" s="70"/>
      <c r="V296" s="47"/>
      <c r="W296" s="37"/>
    </row>
    <row r="297" spans="21:23" ht="14.25" customHeight="1">
      <c r="U297" s="70"/>
      <c r="V297" s="47"/>
      <c r="W297" s="37"/>
    </row>
    <row r="298" spans="21:23" ht="14.25" customHeight="1">
      <c r="U298" s="70"/>
      <c r="V298" s="47"/>
      <c r="W298" s="37"/>
    </row>
    <row r="299" spans="21:23" ht="14.25" customHeight="1">
      <c r="U299" s="70"/>
      <c r="V299" s="47"/>
      <c r="W299" s="37"/>
    </row>
    <row r="300" spans="21:23" ht="14.25" customHeight="1">
      <c r="U300" s="70"/>
      <c r="V300" s="47"/>
      <c r="W300" s="37"/>
    </row>
    <row r="301" spans="21:23" ht="14.25" customHeight="1">
      <c r="U301" s="70"/>
      <c r="V301" s="47"/>
      <c r="W301" s="37"/>
    </row>
    <row r="302" spans="21:23" ht="14.25" customHeight="1">
      <c r="U302" s="70"/>
      <c r="V302" s="47"/>
      <c r="W302" s="37"/>
    </row>
    <row r="303" spans="21:23" ht="14.25" customHeight="1">
      <c r="U303" s="70"/>
      <c r="V303" s="47"/>
      <c r="W303" s="37"/>
    </row>
    <row r="304" spans="21:23" ht="14.25" customHeight="1">
      <c r="U304" s="70"/>
      <c r="V304" s="47"/>
      <c r="W304" s="37"/>
    </row>
    <row r="305" spans="21:23" ht="14.25" customHeight="1">
      <c r="U305" s="70"/>
      <c r="V305" s="47"/>
      <c r="W305" s="37"/>
    </row>
    <row r="306" spans="21:23" ht="14.25" customHeight="1">
      <c r="U306" s="70"/>
      <c r="V306" s="47"/>
      <c r="W306" s="37"/>
    </row>
    <row r="307" spans="21:23" ht="14.25" customHeight="1">
      <c r="U307" s="70"/>
      <c r="V307" s="47"/>
      <c r="W307" s="37"/>
    </row>
    <row r="308" spans="21:23" ht="14.25" customHeight="1">
      <c r="U308" s="70"/>
      <c r="V308" s="47"/>
      <c r="W308" s="37"/>
    </row>
    <row r="309" spans="21:23" ht="14.25" customHeight="1">
      <c r="U309" s="70"/>
      <c r="V309" s="47"/>
      <c r="W309" s="37"/>
    </row>
    <row r="310" spans="21:23" ht="14.25" customHeight="1">
      <c r="U310" s="70"/>
      <c r="V310" s="47"/>
      <c r="W310" s="37"/>
    </row>
    <row r="311" spans="21:23" ht="14.25" customHeight="1">
      <c r="U311" s="70"/>
      <c r="V311" s="47"/>
      <c r="W311" s="37"/>
    </row>
    <row r="312" spans="21:23" ht="14.25" customHeight="1">
      <c r="U312" s="70"/>
      <c r="V312" s="47"/>
      <c r="W312" s="37"/>
    </row>
    <row r="313" spans="21:23" ht="14.25" customHeight="1">
      <c r="U313" s="70"/>
      <c r="V313" s="47"/>
      <c r="W313" s="37"/>
    </row>
    <row r="314" spans="21:23" ht="14.25" customHeight="1">
      <c r="U314" s="70"/>
      <c r="V314" s="47"/>
      <c r="W314" s="37"/>
    </row>
    <row r="315" spans="21:23" ht="14.25" customHeight="1">
      <c r="U315" s="70"/>
      <c r="V315" s="47"/>
      <c r="W315" s="37"/>
    </row>
    <row r="316" spans="21:23" ht="14.25" customHeight="1">
      <c r="U316" s="70"/>
      <c r="V316" s="47"/>
      <c r="W316" s="37"/>
    </row>
    <row r="317" spans="21:23" ht="14.25" customHeight="1">
      <c r="U317" s="70"/>
      <c r="V317" s="47"/>
      <c r="W317" s="37"/>
    </row>
    <row r="318" spans="21:23" ht="14.25" customHeight="1">
      <c r="U318" s="70"/>
      <c r="V318" s="47"/>
      <c r="W318" s="37"/>
    </row>
    <row r="319" spans="21:23" ht="14.25" customHeight="1">
      <c r="U319" s="70"/>
      <c r="V319" s="47"/>
      <c r="W319" s="37"/>
    </row>
    <row r="320" spans="21:23" ht="14.25" customHeight="1">
      <c r="U320" s="70"/>
      <c r="V320" s="47"/>
      <c r="W320" s="37"/>
    </row>
    <row r="321" spans="21:23" ht="14.25" customHeight="1">
      <c r="U321" s="70"/>
      <c r="V321" s="47"/>
      <c r="W321" s="37"/>
    </row>
    <row r="322" spans="21:23" ht="14.25" customHeight="1">
      <c r="U322" s="70"/>
      <c r="V322" s="47"/>
      <c r="W322" s="37"/>
    </row>
    <row r="323" spans="21:23" ht="14.25" customHeight="1">
      <c r="U323" s="70"/>
      <c r="V323" s="47"/>
      <c r="W323" s="37"/>
    </row>
    <row r="324" spans="21:23" ht="14.25" customHeight="1">
      <c r="U324" s="70"/>
      <c r="V324" s="47"/>
      <c r="W324" s="37"/>
    </row>
    <row r="325" spans="21:23" ht="14.25" customHeight="1">
      <c r="U325" s="70"/>
      <c r="V325" s="47"/>
      <c r="W325" s="37"/>
    </row>
  </sheetData>
  <sheetProtection/>
  <conditionalFormatting sqref="V2:W325">
    <cfRule type="cellIs" priority="1" dxfId="2" operator="equal" stopIfTrue="1">
      <formula>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AK352"/>
  <sheetViews>
    <sheetView zoomScalePageLayoutView="0" workbookViewId="0" topLeftCell="A1">
      <selection activeCell="A12" sqref="A12:N233"/>
    </sheetView>
  </sheetViews>
  <sheetFormatPr defaultColWidth="14.7109375" defaultRowHeight="12.75"/>
  <cols>
    <col min="1" max="2" width="14.7109375" style="67" customWidth="1"/>
    <col min="3" max="4" width="14.7109375" style="0" customWidth="1"/>
    <col min="5" max="5" width="14.7109375" style="78" customWidth="1"/>
    <col min="6" max="6" width="14.7109375" style="0" customWidth="1"/>
    <col min="7" max="7" width="20.00390625" style="0" customWidth="1"/>
    <col min="8" max="8" width="14.7109375" style="0" customWidth="1"/>
    <col min="9" max="9" width="19.00390625" style="12" customWidth="1"/>
    <col min="10" max="13" width="14.7109375" style="23" customWidth="1"/>
    <col min="14" max="16" width="14.7109375" style="0" customWidth="1"/>
    <col min="17" max="17" width="14.7109375" style="181" customWidth="1"/>
  </cols>
  <sheetData>
    <row r="1" spans="1:37" ht="15" customHeight="1" thickBot="1">
      <c r="A1" s="66"/>
      <c r="B1" s="66"/>
      <c r="C1" s="8"/>
      <c r="D1" s="8"/>
      <c r="E1" s="74"/>
      <c r="F1" s="17" t="s">
        <v>34</v>
      </c>
      <c r="G1" s="8" t="s">
        <v>30</v>
      </c>
      <c r="H1" s="8"/>
      <c r="I1" s="19" t="s">
        <v>38</v>
      </c>
      <c r="J1" s="21"/>
      <c r="K1" s="21"/>
      <c r="L1" s="21"/>
      <c r="M1" s="21"/>
      <c r="N1" s="5"/>
      <c r="O1" s="5"/>
      <c r="P1" s="5"/>
      <c r="R1" s="5"/>
      <c r="S1" s="5"/>
      <c r="T1" s="5"/>
      <c r="U1" s="5"/>
      <c r="V1" s="5"/>
      <c r="W1" s="5"/>
      <c r="X1" s="5"/>
      <c r="Y1" s="5"/>
      <c r="Z1" s="5"/>
      <c r="AA1" s="5"/>
      <c r="AB1" s="5"/>
      <c r="AC1" s="5"/>
      <c r="AD1" s="5"/>
      <c r="AE1" s="5"/>
      <c r="AF1" s="5"/>
      <c r="AG1" s="5"/>
      <c r="AH1" s="5"/>
      <c r="AI1" s="5"/>
      <c r="AJ1" s="5"/>
      <c r="AK1" s="5"/>
    </row>
    <row r="2" spans="1:37" ht="23.25" customHeight="1" thickBot="1">
      <c r="A2" s="66"/>
      <c r="B2" s="66"/>
      <c r="C2" s="14"/>
      <c r="D2" s="14"/>
      <c r="E2" s="75" t="s">
        <v>28</v>
      </c>
      <c r="F2" s="18">
        <v>0.4888888888888889</v>
      </c>
      <c r="G2" s="6" t="s">
        <v>28</v>
      </c>
      <c r="H2" s="18">
        <v>12.4</v>
      </c>
      <c r="I2" s="258">
        <v>0</v>
      </c>
      <c r="J2" s="21"/>
      <c r="K2" s="21"/>
      <c r="L2" s="21"/>
      <c r="M2" s="21"/>
      <c r="N2" s="5"/>
      <c r="O2" s="5"/>
      <c r="P2" s="5"/>
      <c r="R2" s="5"/>
      <c r="S2" s="5"/>
      <c r="T2" s="5"/>
      <c r="U2" s="5"/>
      <c r="V2" s="5"/>
      <c r="W2" s="5"/>
      <c r="X2" s="5"/>
      <c r="Y2" s="5"/>
      <c r="Z2" s="5"/>
      <c r="AA2" s="5"/>
      <c r="AB2" s="5"/>
      <c r="AC2" s="5"/>
      <c r="AD2" s="5"/>
      <c r="AE2" s="5"/>
      <c r="AF2" s="5"/>
      <c r="AG2" s="5"/>
      <c r="AH2" s="5"/>
      <c r="AI2" s="5"/>
      <c r="AJ2" s="5"/>
      <c r="AK2" s="5"/>
    </row>
    <row r="3" spans="1:37" ht="23.25" customHeight="1" thickBot="1">
      <c r="A3" s="66"/>
      <c r="B3" s="66"/>
      <c r="C3" s="14"/>
      <c r="D3" s="14"/>
      <c r="E3" s="75" t="s">
        <v>29</v>
      </c>
      <c r="F3" s="16">
        <v>42276</v>
      </c>
      <c r="G3" s="6" t="s">
        <v>29</v>
      </c>
      <c r="H3" s="16">
        <v>42276</v>
      </c>
      <c r="I3" s="256"/>
      <c r="J3" s="21"/>
      <c r="K3" s="21"/>
      <c r="L3" s="21"/>
      <c r="M3" s="21"/>
      <c r="N3" s="5"/>
      <c r="O3" s="5"/>
      <c r="P3" s="5"/>
      <c r="R3" s="10"/>
      <c r="S3" s="9"/>
      <c r="T3" s="5"/>
      <c r="U3" s="5"/>
      <c r="V3" s="5"/>
      <c r="W3" s="5"/>
      <c r="X3" s="5"/>
      <c r="Y3" s="5"/>
      <c r="Z3" s="5"/>
      <c r="AA3" s="5"/>
      <c r="AB3" s="5"/>
      <c r="AC3" s="5"/>
      <c r="AD3" s="5"/>
      <c r="AE3" s="5"/>
      <c r="AF3" s="5"/>
      <c r="AG3" s="5"/>
      <c r="AH3" s="5"/>
      <c r="AI3" s="5"/>
      <c r="AJ3" s="5"/>
      <c r="AK3" s="5"/>
    </row>
    <row r="4" spans="1:37" ht="15" customHeight="1" thickBot="1">
      <c r="A4" s="66"/>
      <c r="B4" s="66"/>
      <c r="C4" s="5"/>
      <c r="D4" s="13"/>
      <c r="E4" s="76"/>
      <c r="F4" s="5"/>
      <c r="G4" s="287" t="s">
        <v>36</v>
      </c>
      <c r="H4" s="287"/>
      <c r="I4" s="20" t="s">
        <v>37</v>
      </c>
      <c r="J4" s="271" t="s">
        <v>43</v>
      </c>
      <c r="K4" s="271"/>
      <c r="L4" s="21"/>
      <c r="M4" s="21"/>
      <c r="N4" s="5"/>
      <c r="O4" s="5"/>
      <c r="P4" s="5"/>
      <c r="R4" s="5"/>
      <c r="S4" s="5"/>
      <c r="T4" s="5"/>
      <c r="U4" s="5"/>
      <c r="V4" s="5"/>
      <c r="W4" s="5"/>
      <c r="X4" s="5"/>
      <c r="Y4" s="5"/>
      <c r="Z4" s="5"/>
      <c r="AA4" s="5"/>
      <c r="AB4" s="5"/>
      <c r="AC4" s="5"/>
      <c r="AD4" s="5"/>
      <c r="AE4" s="5"/>
      <c r="AF4" s="5"/>
      <c r="AG4" s="5"/>
      <c r="AH4" s="5"/>
      <c r="AI4" s="5"/>
      <c r="AJ4" s="5"/>
      <c r="AK4" s="5"/>
    </row>
    <row r="5" spans="1:37" ht="19.5" customHeight="1" thickBot="1">
      <c r="A5" s="66"/>
      <c r="B5" s="66"/>
      <c r="C5" s="5"/>
      <c r="D5" s="7"/>
      <c r="E5" s="77"/>
      <c r="F5" s="7" t="s">
        <v>595</v>
      </c>
      <c r="G5" s="269">
        <v>2078.92</v>
      </c>
      <c r="H5" s="270"/>
      <c r="I5" s="41">
        <v>0</v>
      </c>
      <c r="J5" s="269">
        <v>2078.92</v>
      </c>
      <c r="K5" s="270"/>
      <c r="L5" s="21"/>
      <c r="M5" s="21"/>
      <c r="N5" s="5"/>
      <c r="O5" s="5"/>
      <c r="P5" s="5"/>
      <c r="R5" s="5"/>
      <c r="S5" s="5"/>
      <c r="T5" s="5"/>
      <c r="U5" s="5"/>
      <c r="V5" s="5"/>
      <c r="W5" s="5"/>
      <c r="X5" s="5"/>
      <c r="Y5" s="5"/>
      <c r="Z5" s="5"/>
      <c r="AA5" s="5"/>
      <c r="AB5" s="5"/>
      <c r="AC5" s="5"/>
      <c r="AD5" s="5"/>
      <c r="AE5" s="5"/>
      <c r="AF5" s="5"/>
      <c r="AG5" s="5"/>
      <c r="AH5" s="5"/>
      <c r="AI5" s="5"/>
      <c r="AJ5" s="5"/>
      <c r="AK5" s="5"/>
    </row>
    <row r="6" spans="1:37" ht="15" customHeight="1">
      <c r="A6" s="66"/>
      <c r="B6" s="66"/>
      <c r="C6" s="5"/>
      <c r="D6" s="5"/>
      <c r="E6" s="76"/>
      <c r="F6" s="5"/>
      <c r="G6" s="5"/>
      <c r="H6" s="5"/>
      <c r="I6" s="11"/>
      <c r="J6" s="21"/>
      <c r="K6" s="21"/>
      <c r="L6" s="21"/>
      <c r="M6" s="22"/>
      <c r="N6" s="13"/>
      <c r="O6" s="13"/>
      <c r="P6" s="5"/>
      <c r="R6" s="5"/>
      <c r="S6" s="5"/>
      <c r="T6" s="5"/>
      <c r="U6" s="5"/>
      <c r="V6" s="5"/>
      <c r="W6" s="5"/>
      <c r="X6" s="5"/>
      <c r="Y6" s="5"/>
      <c r="Z6" s="5"/>
      <c r="AA6" s="5"/>
      <c r="AB6" s="5"/>
      <c r="AC6" s="5"/>
      <c r="AD6" s="5"/>
      <c r="AE6" s="5"/>
      <c r="AF6" s="5"/>
      <c r="AG6" s="5"/>
      <c r="AH6" s="5"/>
      <c r="AI6" s="5"/>
      <c r="AJ6" s="5"/>
      <c r="AK6" s="5"/>
    </row>
    <row r="7" ht="0.75" customHeight="1" thickBot="1"/>
    <row r="8" spans="1:37" ht="31.5" customHeight="1">
      <c r="A8" s="279" t="s">
        <v>32</v>
      </c>
      <c r="B8" s="283" t="s">
        <v>0</v>
      </c>
      <c r="C8" s="281" t="s">
        <v>58</v>
      </c>
      <c r="D8" s="281" t="s">
        <v>59</v>
      </c>
      <c r="E8" s="285" t="s">
        <v>35</v>
      </c>
      <c r="F8" s="274" t="s">
        <v>33</v>
      </c>
      <c r="G8" s="281" t="s">
        <v>60</v>
      </c>
      <c r="H8" s="281" t="s">
        <v>61</v>
      </c>
      <c r="I8" s="277" t="s">
        <v>62</v>
      </c>
      <c r="J8" s="272" t="s">
        <v>2</v>
      </c>
      <c r="K8" s="276"/>
      <c r="L8" s="272" t="s">
        <v>31</v>
      </c>
      <c r="M8" s="273"/>
      <c r="N8" s="44" t="s">
        <v>43</v>
      </c>
      <c r="O8" s="5"/>
      <c r="P8" s="5"/>
      <c r="R8" s="5"/>
      <c r="S8" s="5"/>
      <c r="T8" s="5"/>
      <c r="U8" s="5"/>
      <c r="V8" s="5"/>
      <c r="W8" s="5"/>
      <c r="X8" s="5"/>
      <c r="Y8" s="5"/>
      <c r="Z8" s="5"/>
      <c r="AA8" s="5"/>
      <c r="AB8" s="5"/>
      <c r="AC8" s="5"/>
      <c r="AD8" s="5"/>
      <c r="AE8" s="5"/>
      <c r="AF8" s="5"/>
      <c r="AG8" s="5"/>
      <c r="AH8" s="5"/>
      <c r="AI8" s="5"/>
      <c r="AJ8" s="5"/>
      <c r="AK8" s="5"/>
    </row>
    <row r="9" spans="1:37" ht="46.5" customHeight="1" thickBot="1">
      <c r="A9" s="280"/>
      <c r="B9" s="284"/>
      <c r="C9" s="282"/>
      <c r="D9" s="282"/>
      <c r="E9" s="286"/>
      <c r="F9" s="275"/>
      <c r="G9" s="282"/>
      <c r="H9" s="282"/>
      <c r="I9" s="278"/>
      <c r="J9" s="24" t="s">
        <v>39</v>
      </c>
      <c r="K9" s="25" t="s">
        <v>40</v>
      </c>
      <c r="L9" s="26" t="s">
        <v>39</v>
      </c>
      <c r="M9" s="25" t="s">
        <v>40</v>
      </c>
      <c r="N9" s="27" t="s">
        <v>44</v>
      </c>
      <c r="O9" s="5"/>
      <c r="P9" s="5"/>
      <c r="R9" s="5"/>
      <c r="S9" s="5"/>
      <c r="T9" s="5"/>
      <c r="U9" s="5"/>
      <c r="V9" s="5"/>
      <c r="W9" s="5"/>
      <c r="X9" s="5"/>
      <c r="Y9" s="5"/>
      <c r="Z9" s="5"/>
      <c r="AA9" s="5"/>
      <c r="AB9" s="5"/>
      <c r="AC9" s="5"/>
      <c r="AD9" s="5"/>
      <c r="AE9" s="5"/>
      <c r="AF9" s="5"/>
      <c r="AG9" s="5"/>
      <c r="AH9" s="5"/>
      <c r="AI9" s="5"/>
      <c r="AJ9" s="5"/>
      <c r="AK9" s="5"/>
    </row>
    <row r="10" spans="1:37" ht="27.75" customHeight="1">
      <c r="A10" s="71"/>
      <c r="B10" s="68" t="s">
        <v>1</v>
      </c>
      <c r="C10" s="1">
        <v>0</v>
      </c>
      <c r="D10" s="1">
        <v>-4906194.600000001</v>
      </c>
      <c r="E10" s="79">
        <v>0</v>
      </c>
      <c r="F10" s="15"/>
      <c r="G10" s="30">
        <v>6268147.93</v>
      </c>
      <c r="H10" s="30">
        <v>1359874.41</v>
      </c>
      <c r="I10" s="31"/>
      <c r="J10" s="32">
        <v>11847.599999999999</v>
      </c>
      <c r="K10" s="32">
        <v>9768.679999999998</v>
      </c>
      <c r="L10" s="32">
        <v>0</v>
      </c>
      <c r="M10" s="32">
        <v>0</v>
      </c>
      <c r="N10" s="46">
        <v>2078.92</v>
      </c>
      <c r="O10" s="5"/>
      <c r="P10" s="5"/>
      <c r="R10" s="149">
        <v>0</v>
      </c>
      <c r="S10" s="149">
        <v>-2078.9199999984667</v>
      </c>
      <c r="T10" s="149">
        <v>2078.920000000001</v>
      </c>
      <c r="U10" s="149">
        <v>5.5706550483591855E-12</v>
      </c>
      <c r="V10" s="5"/>
      <c r="W10" s="5"/>
      <c r="X10" s="5"/>
      <c r="Y10" s="5"/>
      <c r="Z10" s="5"/>
      <c r="AA10" s="5"/>
      <c r="AB10" s="5"/>
      <c r="AC10" s="5"/>
      <c r="AD10" s="5"/>
      <c r="AE10" s="5"/>
      <c r="AF10" s="5"/>
      <c r="AG10" s="5"/>
      <c r="AH10" s="5"/>
      <c r="AI10" s="5"/>
      <c r="AJ10" s="5"/>
      <c r="AK10" s="5"/>
    </row>
    <row r="11" spans="1:37" ht="15" customHeight="1">
      <c r="A11" s="72"/>
      <c r="B11" s="69" t="s">
        <v>41</v>
      </c>
      <c r="C11" s="28">
        <v>3932231</v>
      </c>
      <c r="D11" s="28">
        <v>-98663.71</v>
      </c>
      <c r="E11" s="80">
        <v>0</v>
      </c>
      <c r="F11" s="29">
        <v>1.0250910259341326</v>
      </c>
      <c r="G11" s="33"/>
      <c r="H11" s="33"/>
      <c r="I11" s="33"/>
      <c r="J11" s="34">
        <v>0</v>
      </c>
      <c r="K11" s="34">
        <v>98663.71</v>
      </c>
      <c r="L11" s="35">
        <v>0</v>
      </c>
      <c r="M11" s="34">
        <v>0</v>
      </c>
      <c r="N11" s="48">
        <v>-98663.71</v>
      </c>
      <c r="O11" s="5"/>
      <c r="P11" s="5"/>
      <c r="R11" s="5"/>
      <c r="S11" s="5"/>
      <c r="T11" s="5"/>
      <c r="U11" s="5"/>
      <c r="V11" s="5"/>
      <c r="W11" s="5"/>
      <c r="X11" s="5"/>
      <c r="Y11" s="5"/>
      <c r="Z11" s="5"/>
      <c r="AA11" s="5"/>
      <c r="AB11" s="5"/>
      <c r="AC11" s="5"/>
      <c r="AD11" s="5"/>
      <c r="AE11" s="5"/>
      <c r="AF11" s="5"/>
      <c r="AG11" s="5"/>
      <c r="AH11" s="5"/>
      <c r="AI11" s="5"/>
      <c r="AJ11" s="5"/>
      <c r="AK11" s="5"/>
    </row>
    <row r="12" spans="1:37" ht="15" customHeight="1">
      <c r="A12" s="186">
        <v>101</v>
      </c>
      <c r="B12" s="70" t="s">
        <v>64</v>
      </c>
      <c r="C12" s="45">
        <v>520424</v>
      </c>
      <c r="D12" s="42">
        <v>-999.03</v>
      </c>
      <c r="E12" s="252"/>
      <c r="F12" s="29">
        <v>1.001919646288411</v>
      </c>
      <c r="G12" s="36"/>
      <c r="H12" s="36">
        <v>-5500</v>
      </c>
      <c r="I12" s="36" t="s">
        <v>754</v>
      </c>
      <c r="J12" s="47">
        <v>4500.97</v>
      </c>
      <c r="K12" s="37">
        <v>0</v>
      </c>
      <c r="L12" s="252">
        <v>0</v>
      </c>
      <c r="M12" s="43">
        <v>0</v>
      </c>
      <c r="N12" s="49">
        <v>4500.97</v>
      </c>
      <c r="O12" s="137">
        <v>1300</v>
      </c>
      <c r="P12" s="137">
        <v>1</v>
      </c>
      <c r="Q12" s="182" t="s">
        <v>492</v>
      </c>
      <c r="R12" s="5">
        <v>520424</v>
      </c>
      <c r="S12" s="149">
        <v>520424</v>
      </c>
      <c r="T12" s="149">
        <v>0</v>
      </c>
      <c r="U12" s="150">
        <v>0</v>
      </c>
      <c r="V12" s="5" t="e">
        <v>#REF!</v>
      </c>
      <c r="W12" s="5" t="e">
        <v>#REF!</v>
      </c>
      <c r="X12" s="5"/>
      <c r="Y12" s="5"/>
      <c r="Z12" s="5"/>
      <c r="AA12" s="5"/>
      <c r="AB12" s="5"/>
      <c r="AC12" s="5"/>
      <c r="AD12" s="5"/>
      <c r="AE12" s="5"/>
      <c r="AF12" s="5"/>
      <c r="AG12" s="5"/>
      <c r="AH12" s="5"/>
      <c r="AI12" s="5"/>
      <c r="AJ12" s="5"/>
      <c r="AK12" s="5"/>
    </row>
    <row r="13" spans="1:37" ht="15" customHeight="1" hidden="1">
      <c r="A13" s="70">
        <v>102</v>
      </c>
      <c r="B13" s="70" t="s">
        <v>65</v>
      </c>
      <c r="C13" s="45">
        <v>0</v>
      </c>
      <c r="D13" s="42">
        <v>0</v>
      </c>
      <c r="E13" s="252"/>
      <c r="F13" s="29" t="s">
        <v>596</v>
      </c>
      <c r="G13" s="36"/>
      <c r="H13" s="36"/>
      <c r="I13" s="36"/>
      <c r="J13" s="47">
        <v>0</v>
      </c>
      <c r="K13" s="37">
        <v>0</v>
      </c>
      <c r="L13" s="43">
        <v>0</v>
      </c>
      <c r="M13" s="43">
        <v>0</v>
      </c>
      <c r="N13" s="49">
        <v>0</v>
      </c>
      <c r="O13" s="137">
        <v>1320</v>
      </c>
      <c r="P13" s="137">
        <v>1</v>
      </c>
      <c r="Q13" s="182" t="s">
        <v>492</v>
      </c>
      <c r="R13" s="5">
        <v>0</v>
      </c>
      <c r="S13" s="149">
        <v>0</v>
      </c>
      <c r="T13" s="149">
        <v>0</v>
      </c>
      <c r="U13" s="150">
        <v>0</v>
      </c>
      <c r="V13" s="5" t="e">
        <v>#REF!</v>
      </c>
      <c r="W13" s="5" t="e">
        <v>#REF!</v>
      </c>
      <c r="X13" s="5"/>
      <c r="Y13" s="5"/>
      <c r="Z13" s="5"/>
      <c r="AA13" s="5"/>
      <c r="AB13" s="5"/>
      <c r="AC13" s="5"/>
      <c r="AD13" s="5"/>
      <c r="AE13" s="5"/>
      <c r="AF13" s="5"/>
      <c r="AG13" s="5"/>
      <c r="AH13" s="5"/>
      <c r="AI13" s="5"/>
      <c r="AJ13" s="5"/>
      <c r="AK13" s="5"/>
    </row>
    <row r="14" spans="1:37" ht="21" customHeight="1">
      <c r="A14" s="70">
        <v>103</v>
      </c>
      <c r="B14" s="70" t="s">
        <v>66</v>
      </c>
      <c r="C14" s="45">
        <v>0</v>
      </c>
      <c r="D14" s="42">
        <v>0</v>
      </c>
      <c r="E14" s="252"/>
      <c r="F14" s="29" t="s">
        <v>596</v>
      </c>
      <c r="G14" s="36"/>
      <c r="H14" s="36"/>
      <c r="I14" s="57"/>
      <c r="J14" s="47">
        <v>0</v>
      </c>
      <c r="K14" s="37">
        <v>0</v>
      </c>
      <c r="L14" s="43">
        <v>0</v>
      </c>
      <c r="M14" s="43">
        <v>0</v>
      </c>
      <c r="N14" s="49">
        <v>0</v>
      </c>
      <c r="O14" s="137">
        <v>1220</v>
      </c>
      <c r="P14" s="137">
        <v>1</v>
      </c>
      <c r="Q14" s="182" t="s">
        <v>492</v>
      </c>
      <c r="R14" s="5">
        <v>0</v>
      </c>
      <c r="S14" s="149">
        <v>0</v>
      </c>
      <c r="T14" s="149">
        <v>0</v>
      </c>
      <c r="U14" s="150">
        <v>0</v>
      </c>
      <c r="V14" s="5" t="e">
        <v>#REF!</v>
      </c>
      <c r="W14" s="5" t="e">
        <v>#REF!</v>
      </c>
      <c r="X14" s="5"/>
      <c r="Y14" s="5"/>
      <c r="Z14" s="5"/>
      <c r="AA14" s="5"/>
      <c r="AB14" s="5"/>
      <c r="AC14" s="5"/>
      <c r="AD14" s="5"/>
      <c r="AE14" s="5"/>
      <c r="AF14" s="5"/>
      <c r="AG14" s="5"/>
      <c r="AH14" s="5"/>
      <c r="AI14" s="5"/>
      <c r="AJ14" s="5"/>
      <c r="AK14" s="5"/>
    </row>
    <row r="15" spans="1:37" ht="15" customHeight="1" hidden="1">
      <c r="A15" s="70">
        <v>104</v>
      </c>
      <c r="B15" s="70" t="s">
        <v>67</v>
      </c>
      <c r="C15" s="45">
        <v>0</v>
      </c>
      <c r="D15" s="42">
        <v>0</v>
      </c>
      <c r="E15" s="252"/>
      <c r="F15" s="29" t="s">
        <v>596</v>
      </c>
      <c r="G15" s="36"/>
      <c r="H15" s="36"/>
      <c r="I15" s="38"/>
      <c r="J15" s="47">
        <v>0</v>
      </c>
      <c r="K15" s="37">
        <v>0</v>
      </c>
      <c r="L15" s="43">
        <v>0</v>
      </c>
      <c r="M15" s="43">
        <v>0</v>
      </c>
      <c r="N15" s="49">
        <v>0</v>
      </c>
      <c r="O15" s="137">
        <v>1320</v>
      </c>
      <c r="P15" s="137">
        <v>1</v>
      </c>
      <c r="Q15" s="182" t="s">
        <v>492</v>
      </c>
      <c r="R15" s="5">
        <v>0</v>
      </c>
      <c r="S15" s="149">
        <v>0</v>
      </c>
      <c r="T15" s="149">
        <v>0</v>
      </c>
      <c r="U15" s="150">
        <v>0</v>
      </c>
      <c r="V15" s="5" t="e">
        <v>#REF!</v>
      </c>
      <c r="W15" s="5" t="e">
        <v>#REF!</v>
      </c>
      <c r="X15" s="5"/>
      <c r="Y15" s="5"/>
      <c r="Z15" s="5"/>
      <c r="AA15" s="5"/>
      <c r="AB15" s="5"/>
      <c r="AC15" s="5"/>
      <c r="AD15" s="5"/>
      <c r="AE15" s="5"/>
      <c r="AF15" s="5"/>
      <c r="AG15" s="5"/>
      <c r="AH15" s="5"/>
      <c r="AI15" s="5"/>
      <c r="AJ15" s="5"/>
      <c r="AK15" s="5"/>
    </row>
    <row r="16" spans="1:37" ht="15" customHeight="1">
      <c r="A16" s="70">
        <v>105</v>
      </c>
      <c r="B16" s="70" t="s">
        <v>68</v>
      </c>
      <c r="C16" s="45">
        <v>144622</v>
      </c>
      <c r="D16" s="42">
        <v>165.2</v>
      </c>
      <c r="E16" s="252"/>
      <c r="F16" s="29">
        <v>0.9988577118280759</v>
      </c>
      <c r="G16" s="36"/>
      <c r="H16" s="36">
        <v>2000</v>
      </c>
      <c r="I16" s="36" t="s">
        <v>745</v>
      </c>
      <c r="J16" s="47">
        <v>0</v>
      </c>
      <c r="K16" s="37">
        <v>1834.8</v>
      </c>
      <c r="L16" s="43">
        <v>0</v>
      </c>
      <c r="M16" s="43">
        <v>0</v>
      </c>
      <c r="N16" s="49">
        <v>-1834.8</v>
      </c>
      <c r="O16" s="137">
        <v>1310</v>
      </c>
      <c r="P16" s="137">
        <v>1</v>
      </c>
      <c r="Q16" s="182" t="s">
        <v>492</v>
      </c>
      <c r="R16" s="5">
        <v>144622</v>
      </c>
      <c r="S16" s="149">
        <v>144622</v>
      </c>
      <c r="T16" s="149">
        <v>0</v>
      </c>
      <c r="U16" s="150">
        <v>0</v>
      </c>
      <c r="V16" s="5" t="e">
        <v>#REF!</v>
      </c>
      <c r="W16" s="5" t="e">
        <v>#REF!</v>
      </c>
      <c r="X16" s="5"/>
      <c r="Y16" s="5"/>
      <c r="Z16" s="5"/>
      <c r="AA16" s="5"/>
      <c r="AB16" s="5"/>
      <c r="AC16" s="5"/>
      <c r="AD16" s="5"/>
      <c r="AE16" s="5"/>
      <c r="AF16" s="5"/>
      <c r="AG16" s="5"/>
      <c r="AH16" s="5"/>
      <c r="AI16" s="5"/>
      <c r="AJ16" s="5"/>
      <c r="AK16" s="5"/>
    </row>
    <row r="17" spans="1:37" ht="15" customHeight="1">
      <c r="A17" s="70">
        <v>106</v>
      </c>
      <c r="B17" s="70" t="s">
        <v>69</v>
      </c>
      <c r="C17" s="45">
        <v>4140</v>
      </c>
      <c r="D17" s="42">
        <v>47.85</v>
      </c>
      <c r="E17" s="252"/>
      <c r="F17" s="29">
        <v>0.9884420289855073</v>
      </c>
      <c r="G17" s="36"/>
      <c r="H17" s="36"/>
      <c r="I17" s="36"/>
      <c r="J17" s="47">
        <v>47.85</v>
      </c>
      <c r="K17" s="37">
        <v>0</v>
      </c>
      <c r="L17" s="43">
        <v>0</v>
      </c>
      <c r="M17" s="43">
        <v>0</v>
      </c>
      <c r="N17" s="49">
        <v>47.85</v>
      </c>
      <c r="O17" s="137">
        <v>1220</v>
      </c>
      <c r="P17" s="137">
        <v>1</v>
      </c>
      <c r="Q17" s="182" t="s">
        <v>492</v>
      </c>
      <c r="R17" s="5">
        <v>4140</v>
      </c>
      <c r="S17" s="149">
        <v>4140</v>
      </c>
      <c r="T17" s="149">
        <v>0</v>
      </c>
      <c r="U17" s="150">
        <v>0</v>
      </c>
      <c r="V17" s="5" t="e">
        <v>#REF!</v>
      </c>
      <c r="W17" s="5" t="e">
        <v>#REF!</v>
      </c>
      <c r="X17" s="5"/>
      <c r="Y17" s="5"/>
      <c r="Z17" s="5"/>
      <c r="AA17" s="5"/>
      <c r="AB17" s="5"/>
      <c r="AC17" s="5"/>
      <c r="AD17" s="5"/>
      <c r="AE17" s="5"/>
      <c r="AF17" s="5"/>
      <c r="AG17" s="5"/>
      <c r="AH17" s="5"/>
      <c r="AI17" s="5"/>
      <c r="AJ17" s="5"/>
      <c r="AK17" s="5"/>
    </row>
    <row r="18" spans="1:37" ht="15" customHeight="1" hidden="1">
      <c r="A18" s="70">
        <v>107</v>
      </c>
      <c r="B18" s="70" t="s">
        <v>70</v>
      </c>
      <c r="C18" s="45">
        <v>0</v>
      </c>
      <c r="D18" s="42">
        <v>0</v>
      </c>
      <c r="E18" s="252"/>
      <c r="F18" s="29" t="s">
        <v>596</v>
      </c>
      <c r="G18" s="36"/>
      <c r="H18" s="36"/>
      <c r="I18" s="36"/>
      <c r="J18" s="47">
        <v>0</v>
      </c>
      <c r="K18" s="37">
        <v>0</v>
      </c>
      <c r="L18" s="43">
        <v>0</v>
      </c>
      <c r="M18" s="43">
        <v>0</v>
      </c>
      <c r="N18" s="49">
        <v>0</v>
      </c>
      <c r="O18" s="137">
        <v>1000</v>
      </c>
      <c r="P18" s="137">
        <v>1</v>
      </c>
      <c r="Q18" s="182" t="s">
        <v>492</v>
      </c>
      <c r="R18" s="5">
        <v>0</v>
      </c>
      <c r="S18" s="149">
        <v>0</v>
      </c>
      <c r="T18" s="149">
        <v>0</v>
      </c>
      <c r="U18" s="150">
        <v>0</v>
      </c>
      <c r="V18" s="5" t="e">
        <v>#REF!</v>
      </c>
      <c r="W18" s="5" t="e">
        <v>#REF!</v>
      </c>
      <c r="X18" s="5"/>
      <c r="Y18" s="5"/>
      <c r="Z18" s="5"/>
      <c r="AA18" s="5"/>
      <c r="AB18" s="5"/>
      <c r="AC18" s="5"/>
      <c r="AD18" s="5"/>
      <c r="AE18" s="5"/>
      <c r="AF18" s="5"/>
      <c r="AG18" s="5"/>
      <c r="AH18" s="5"/>
      <c r="AI18" s="5"/>
      <c r="AJ18" s="5"/>
      <c r="AK18" s="5"/>
    </row>
    <row r="19" spans="1:37" ht="20.25" customHeight="1">
      <c r="A19" s="70">
        <v>108</v>
      </c>
      <c r="B19" s="70" t="s">
        <v>71</v>
      </c>
      <c r="C19" s="45">
        <v>3270579</v>
      </c>
      <c r="D19" s="42">
        <v>28133.66</v>
      </c>
      <c r="E19" s="252"/>
      <c r="F19" s="29">
        <v>0.9913979573647357</v>
      </c>
      <c r="G19" s="36"/>
      <c r="H19" s="36">
        <v>15000</v>
      </c>
      <c r="I19" s="56" t="s">
        <v>755</v>
      </c>
      <c r="J19" s="47">
        <v>13133.66</v>
      </c>
      <c r="K19" s="37">
        <v>0</v>
      </c>
      <c r="L19" s="43">
        <v>0</v>
      </c>
      <c r="M19" s="43">
        <v>0</v>
      </c>
      <c r="N19" s="49">
        <v>13133.66</v>
      </c>
      <c r="O19" s="137">
        <v>1000</v>
      </c>
      <c r="P19" s="137">
        <v>1</v>
      </c>
      <c r="Q19" s="182" t="s">
        <v>492</v>
      </c>
      <c r="R19" s="5">
        <v>3270579</v>
      </c>
      <c r="S19" s="149">
        <v>3270579</v>
      </c>
      <c r="T19" s="149">
        <v>0</v>
      </c>
      <c r="U19" s="150">
        <v>0</v>
      </c>
      <c r="V19" s="5" t="e">
        <v>#REF!</v>
      </c>
      <c r="W19" s="5" t="e">
        <v>#REF!</v>
      </c>
      <c r="X19" s="5"/>
      <c r="Y19" s="5"/>
      <c r="Z19" s="5"/>
      <c r="AA19" s="5"/>
      <c r="AB19" s="5"/>
      <c r="AC19" s="5"/>
      <c r="AD19" s="5"/>
      <c r="AE19" s="5"/>
      <c r="AF19" s="5"/>
      <c r="AG19" s="5"/>
      <c r="AH19" s="5"/>
      <c r="AI19" s="5"/>
      <c r="AJ19" s="5"/>
      <c r="AK19" s="5"/>
    </row>
    <row r="20" spans="1:37" ht="22.5" customHeight="1" hidden="1">
      <c r="A20" s="70">
        <v>112</v>
      </c>
      <c r="B20" s="70" t="s">
        <v>73</v>
      </c>
      <c r="C20" s="45">
        <v>414850</v>
      </c>
      <c r="D20" s="42">
        <v>7166.08</v>
      </c>
      <c r="E20" s="252"/>
      <c r="F20" s="29">
        <v>0.982726093768832</v>
      </c>
      <c r="G20" s="36"/>
      <c r="H20" s="36">
        <v>4000</v>
      </c>
      <c r="I20" s="57" t="s">
        <v>755</v>
      </c>
      <c r="J20" s="47">
        <v>3166.08</v>
      </c>
      <c r="K20" s="37">
        <v>0</v>
      </c>
      <c r="L20" s="43">
        <v>0</v>
      </c>
      <c r="M20" s="43">
        <v>0</v>
      </c>
      <c r="N20" s="49">
        <v>3166.08</v>
      </c>
      <c r="O20" s="137">
        <v>1000</v>
      </c>
      <c r="P20" s="137">
        <v>1</v>
      </c>
      <c r="Q20" s="182" t="s">
        <v>492</v>
      </c>
      <c r="R20" s="5">
        <v>414850</v>
      </c>
      <c r="S20" s="149">
        <v>414850</v>
      </c>
      <c r="T20" s="149">
        <v>0</v>
      </c>
      <c r="U20" s="150">
        <v>0</v>
      </c>
      <c r="V20" s="5" t="e">
        <v>#REF!</v>
      </c>
      <c r="W20" s="5" t="e">
        <v>#REF!</v>
      </c>
      <c r="X20" s="5"/>
      <c r="Y20" s="5"/>
      <c r="Z20" s="5"/>
      <c r="AA20" s="5"/>
      <c r="AB20" s="5"/>
      <c r="AC20" s="5"/>
      <c r="AD20" s="5"/>
      <c r="AE20" s="5"/>
      <c r="AF20" s="5"/>
      <c r="AG20" s="5"/>
      <c r="AH20" s="5"/>
      <c r="AI20" s="5"/>
      <c r="AJ20" s="5"/>
      <c r="AK20" s="5"/>
    </row>
    <row r="21" spans="1:37" ht="15" customHeight="1">
      <c r="A21" s="70">
        <v>113</v>
      </c>
      <c r="B21" s="70" t="s">
        <v>74</v>
      </c>
      <c r="C21" s="45">
        <v>56100</v>
      </c>
      <c r="D21" s="42">
        <v>408.51</v>
      </c>
      <c r="E21" s="252"/>
      <c r="F21" s="29">
        <v>0.9927181818181818</v>
      </c>
      <c r="G21" s="36"/>
      <c r="H21" s="36"/>
      <c r="I21" s="36"/>
      <c r="J21" s="47">
        <v>408.51</v>
      </c>
      <c r="K21" s="37">
        <v>0</v>
      </c>
      <c r="L21" s="43">
        <v>0</v>
      </c>
      <c r="M21" s="43">
        <v>506.2</v>
      </c>
      <c r="N21" s="49">
        <v>914.71</v>
      </c>
      <c r="O21" s="137">
        <v>1000</v>
      </c>
      <c r="P21" s="137">
        <v>1</v>
      </c>
      <c r="Q21" s="182" t="s">
        <v>492</v>
      </c>
      <c r="R21" s="5">
        <v>56100</v>
      </c>
      <c r="S21" s="149">
        <v>56606.2</v>
      </c>
      <c r="T21" s="149">
        <v>-506.1999999999971</v>
      </c>
      <c r="U21" s="150">
        <v>2.8990143619012088E-12</v>
      </c>
      <c r="V21" s="5" t="e">
        <v>#REF!</v>
      </c>
      <c r="W21" s="5" t="e">
        <v>#REF!</v>
      </c>
      <c r="X21" s="5"/>
      <c r="Y21" s="5"/>
      <c r="Z21" s="5"/>
      <c r="AA21" s="5"/>
      <c r="AB21" s="5"/>
      <c r="AC21" s="5"/>
      <c r="AD21" s="5"/>
      <c r="AE21" s="5"/>
      <c r="AF21" s="5"/>
      <c r="AG21" s="5"/>
      <c r="AH21" s="5"/>
      <c r="AI21" s="5"/>
      <c r="AJ21" s="5"/>
      <c r="AK21" s="5"/>
    </row>
    <row r="22" spans="1:37" ht="15" customHeight="1">
      <c r="A22" s="70">
        <v>114</v>
      </c>
      <c r="B22" s="70" t="s">
        <v>75</v>
      </c>
      <c r="C22" s="45">
        <v>32331</v>
      </c>
      <c r="D22" s="42">
        <v>238.94</v>
      </c>
      <c r="E22" s="252"/>
      <c r="F22" s="29">
        <v>0.9926095697627664</v>
      </c>
      <c r="G22" s="36"/>
      <c r="H22" s="36"/>
      <c r="I22" s="36"/>
      <c r="J22" s="47">
        <v>238.94</v>
      </c>
      <c r="K22" s="37">
        <v>0</v>
      </c>
      <c r="L22" s="43">
        <v>238.75</v>
      </c>
      <c r="M22" s="43">
        <v>0</v>
      </c>
      <c r="N22" s="49">
        <v>0.18999999999999773</v>
      </c>
      <c r="O22" s="137">
        <v>1220</v>
      </c>
      <c r="P22" s="137">
        <v>1</v>
      </c>
      <c r="Q22" s="182" t="s">
        <v>492</v>
      </c>
      <c r="R22" s="5">
        <v>32331</v>
      </c>
      <c r="S22" s="149">
        <v>32092.25</v>
      </c>
      <c r="T22" s="149">
        <v>238.75</v>
      </c>
      <c r="U22" s="150">
        <v>0</v>
      </c>
      <c r="V22" s="5" t="e">
        <v>#REF!</v>
      </c>
      <c r="W22" s="5" t="e">
        <v>#REF!</v>
      </c>
      <c r="X22" s="5"/>
      <c r="Y22" s="5"/>
      <c r="Z22" s="5"/>
      <c r="AA22" s="5"/>
      <c r="AB22" s="5"/>
      <c r="AC22" s="5"/>
      <c r="AD22" s="5"/>
      <c r="AE22" s="5"/>
      <c r="AF22" s="5"/>
      <c r="AG22" s="5"/>
      <c r="AH22" s="5"/>
      <c r="AI22" s="5"/>
      <c r="AJ22" s="5"/>
      <c r="AK22" s="5"/>
    </row>
    <row r="23" spans="1:37" ht="15" customHeight="1">
      <c r="A23" s="70">
        <v>115</v>
      </c>
      <c r="B23" s="70" t="s">
        <v>555</v>
      </c>
      <c r="C23" s="45">
        <v>286779</v>
      </c>
      <c r="D23" s="42">
        <v>-9625.25</v>
      </c>
      <c r="E23" s="252"/>
      <c r="F23" s="29">
        <v>1.0335633013574914</v>
      </c>
      <c r="G23" s="36"/>
      <c r="H23" s="36"/>
      <c r="I23" s="36" t="s">
        <v>746</v>
      </c>
      <c r="J23" s="47">
        <v>0</v>
      </c>
      <c r="K23" s="37">
        <v>9625.25</v>
      </c>
      <c r="L23" s="43">
        <v>0</v>
      </c>
      <c r="M23" s="43">
        <v>0</v>
      </c>
      <c r="N23" s="49">
        <v>-9625.25</v>
      </c>
      <c r="O23" s="137">
        <v>1220</v>
      </c>
      <c r="P23" s="137">
        <v>1</v>
      </c>
      <c r="Q23" s="182" t="s">
        <v>492</v>
      </c>
      <c r="R23" s="5">
        <v>286779</v>
      </c>
      <c r="S23" s="149">
        <v>286779</v>
      </c>
      <c r="T23" s="149">
        <v>0</v>
      </c>
      <c r="U23" s="150">
        <v>0</v>
      </c>
      <c r="V23" s="5" t="e">
        <v>#REF!</v>
      </c>
      <c r="W23" s="5" t="e">
        <v>#REF!</v>
      </c>
      <c r="X23" s="5"/>
      <c r="Y23" s="5"/>
      <c r="Z23" s="5"/>
      <c r="AA23" s="5"/>
      <c r="AB23" s="5"/>
      <c r="AC23" s="5"/>
      <c r="AD23" s="5"/>
      <c r="AE23" s="5"/>
      <c r="AF23" s="5"/>
      <c r="AG23" s="5"/>
      <c r="AH23" s="5"/>
      <c r="AI23" s="5"/>
      <c r="AJ23" s="5"/>
      <c r="AK23" s="5"/>
    </row>
    <row r="24" spans="1:37" ht="15" customHeight="1">
      <c r="A24" s="70">
        <v>116</v>
      </c>
      <c r="B24" s="70" t="s">
        <v>77</v>
      </c>
      <c r="C24" s="45">
        <v>124654</v>
      </c>
      <c r="D24" s="42">
        <v>7760.97</v>
      </c>
      <c r="E24" s="252"/>
      <c r="F24" s="29">
        <v>0.9377399040544226</v>
      </c>
      <c r="G24" s="36"/>
      <c r="H24" s="36">
        <v>5500</v>
      </c>
      <c r="I24" s="36" t="s">
        <v>754</v>
      </c>
      <c r="J24" s="47">
        <v>2260.9700000000003</v>
      </c>
      <c r="K24" s="37">
        <v>0</v>
      </c>
      <c r="L24" s="43">
        <v>0</v>
      </c>
      <c r="M24" s="43">
        <v>5616.44</v>
      </c>
      <c r="N24" s="49">
        <v>7877.41</v>
      </c>
      <c r="O24" s="137">
        <v>1230</v>
      </c>
      <c r="P24" s="137">
        <v>1</v>
      </c>
      <c r="Q24" s="182" t="s">
        <v>492</v>
      </c>
      <c r="R24" s="5">
        <v>124654</v>
      </c>
      <c r="S24" s="149">
        <v>130270.44</v>
      </c>
      <c r="T24" s="149">
        <v>-5616.440000000002</v>
      </c>
      <c r="U24" s="150">
        <v>0</v>
      </c>
      <c r="V24" s="5" t="e">
        <v>#REF!</v>
      </c>
      <c r="W24" s="5" t="e">
        <v>#REF!</v>
      </c>
      <c r="X24" s="5"/>
      <c r="Y24" s="5"/>
      <c r="Z24" s="5"/>
      <c r="AA24" s="5"/>
      <c r="AB24" s="5"/>
      <c r="AC24" s="5"/>
      <c r="AD24" s="5"/>
      <c r="AE24" s="5"/>
      <c r="AF24" s="5"/>
      <c r="AG24" s="5"/>
      <c r="AH24" s="5"/>
      <c r="AI24" s="5"/>
      <c r="AJ24" s="5"/>
      <c r="AK24" s="5"/>
    </row>
    <row r="25" spans="1:37" ht="15" customHeight="1">
      <c r="A25" s="70">
        <v>117</v>
      </c>
      <c r="B25" s="70" t="s">
        <v>78</v>
      </c>
      <c r="C25" s="45">
        <v>156952</v>
      </c>
      <c r="D25" s="42">
        <v>469.02</v>
      </c>
      <c r="E25" s="252"/>
      <c r="F25" s="29">
        <v>0.9970116978439268</v>
      </c>
      <c r="G25" s="36"/>
      <c r="H25" s="36"/>
      <c r="I25" s="36"/>
      <c r="J25" s="47">
        <v>469.02</v>
      </c>
      <c r="K25" s="37">
        <v>0</v>
      </c>
      <c r="L25" s="43">
        <v>427.52</v>
      </c>
      <c r="M25" s="43">
        <v>0</v>
      </c>
      <c r="N25" s="49">
        <v>41.5</v>
      </c>
      <c r="O25" s="137">
        <v>1220</v>
      </c>
      <c r="P25" s="137">
        <v>1</v>
      </c>
      <c r="Q25" s="182" t="s">
        <v>492</v>
      </c>
      <c r="R25" s="5">
        <v>156952</v>
      </c>
      <c r="S25" s="149">
        <v>156524.48</v>
      </c>
      <c r="T25" s="149">
        <v>427.5199999999895</v>
      </c>
      <c r="U25" s="150">
        <v>-1.0459189070388675E-11</v>
      </c>
      <c r="V25" s="5" t="e">
        <v>#REF!</v>
      </c>
      <c r="W25" s="5" t="e">
        <v>#REF!</v>
      </c>
      <c r="X25" s="5"/>
      <c r="Y25" s="5"/>
      <c r="Z25" s="5"/>
      <c r="AA25" s="5"/>
      <c r="AB25" s="5"/>
      <c r="AC25" s="5"/>
      <c r="AD25" s="5"/>
      <c r="AE25" s="5"/>
      <c r="AF25" s="5"/>
      <c r="AG25" s="5"/>
      <c r="AH25" s="5"/>
      <c r="AI25" s="5"/>
      <c r="AJ25" s="5"/>
      <c r="AK25" s="5"/>
    </row>
    <row r="26" spans="1:37" ht="15" customHeight="1">
      <c r="A26" s="70">
        <v>118</v>
      </c>
      <c r="B26" s="70" t="s">
        <v>79</v>
      </c>
      <c r="C26" s="45">
        <v>137517</v>
      </c>
      <c r="D26" s="42">
        <v>968.94</v>
      </c>
      <c r="E26" s="252"/>
      <c r="F26" s="29">
        <v>0.9929540347738824</v>
      </c>
      <c r="G26" s="36"/>
      <c r="H26" s="36"/>
      <c r="I26" s="36"/>
      <c r="J26" s="47">
        <v>968.94</v>
      </c>
      <c r="K26" s="37">
        <v>0</v>
      </c>
      <c r="L26" s="43">
        <v>968.92</v>
      </c>
      <c r="M26" s="43">
        <v>0</v>
      </c>
      <c r="N26" s="49">
        <v>0.020000000000095497</v>
      </c>
      <c r="O26" s="137">
        <v>1230</v>
      </c>
      <c r="P26" s="137">
        <v>1</v>
      </c>
      <c r="Q26" s="182" t="s">
        <v>492</v>
      </c>
      <c r="R26" s="5">
        <v>137517</v>
      </c>
      <c r="S26" s="149">
        <v>136548.08</v>
      </c>
      <c r="T26" s="149">
        <v>968.9200000000128</v>
      </c>
      <c r="U26" s="150">
        <v>1.2846612662542611E-11</v>
      </c>
      <c r="V26" s="5" t="e">
        <v>#REF!</v>
      </c>
      <c r="W26" s="5" t="e">
        <v>#REF!</v>
      </c>
      <c r="X26" s="5"/>
      <c r="Y26" s="5"/>
      <c r="Z26" s="5"/>
      <c r="AA26" s="5"/>
      <c r="AB26" s="5"/>
      <c r="AC26" s="5"/>
      <c r="AD26" s="5"/>
      <c r="AE26" s="5"/>
      <c r="AF26" s="5"/>
      <c r="AG26" s="5"/>
      <c r="AH26" s="5"/>
      <c r="AI26" s="5"/>
      <c r="AJ26" s="5"/>
      <c r="AK26" s="5"/>
    </row>
    <row r="27" spans="1:37" ht="15" customHeight="1">
      <c r="A27" s="70">
        <v>120</v>
      </c>
      <c r="B27" s="70" t="s">
        <v>80</v>
      </c>
      <c r="C27" s="45">
        <v>89850</v>
      </c>
      <c r="D27" s="42">
        <v>12936.8</v>
      </c>
      <c r="E27" s="252"/>
      <c r="F27" s="29">
        <v>0.8560178074568725</v>
      </c>
      <c r="G27" s="36"/>
      <c r="H27" s="36">
        <v>12936.8</v>
      </c>
      <c r="I27" s="36" t="s">
        <v>747</v>
      </c>
      <c r="J27" s="47">
        <v>0</v>
      </c>
      <c r="K27" s="37">
        <v>0</v>
      </c>
      <c r="L27" s="43">
        <v>0</v>
      </c>
      <c r="M27" s="43">
        <v>0</v>
      </c>
      <c r="N27" s="49">
        <v>0</v>
      </c>
      <c r="O27" s="137">
        <v>1230</v>
      </c>
      <c r="P27" s="137">
        <v>1</v>
      </c>
      <c r="Q27" s="182" t="s">
        <v>492</v>
      </c>
      <c r="R27" s="5">
        <v>89850</v>
      </c>
      <c r="S27" s="149">
        <v>89850</v>
      </c>
      <c r="T27" s="149">
        <v>0</v>
      </c>
      <c r="U27" s="150">
        <v>0</v>
      </c>
      <c r="V27" s="5" t="e">
        <v>#REF!</v>
      </c>
      <c r="W27" s="5" t="e">
        <v>#REF!</v>
      </c>
      <c r="X27" s="5"/>
      <c r="Y27" s="5"/>
      <c r="Z27" s="5"/>
      <c r="AA27" s="5"/>
      <c r="AB27" s="5"/>
      <c r="AC27" s="5"/>
      <c r="AD27" s="5"/>
      <c r="AE27" s="5"/>
      <c r="AF27" s="5"/>
      <c r="AG27" s="5"/>
      <c r="AH27" s="5"/>
      <c r="AI27" s="5"/>
      <c r="AJ27" s="5"/>
      <c r="AK27" s="5"/>
    </row>
    <row r="28" spans="1:37" ht="15" customHeight="1">
      <c r="A28" s="70">
        <v>121</v>
      </c>
      <c r="B28" s="70" t="s">
        <v>81</v>
      </c>
      <c r="C28" s="45">
        <v>19652</v>
      </c>
      <c r="D28" s="42">
        <v>-444.33</v>
      </c>
      <c r="E28" s="252"/>
      <c r="F28" s="29">
        <v>1.0226099124771018</v>
      </c>
      <c r="G28" s="36"/>
      <c r="H28" s="36"/>
      <c r="I28" s="36"/>
      <c r="J28" s="47">
        <v>0</v>
      </c>
      <c r="K28" s="37">
        <v>444.33</v>
      </c>
      <c r="L28" s="43">
        <v>0</v>
      </c>
      <c r="M28" s="43">
        <v>446.15</v>
      </c>
      <c r="N28" s="49">
        <v>1.8199999999999932</v>
      </c>
      <c r="O28" s="137">
        <v>1220</v>
      </c>
      <c r="P28" s="137">
        <v>1</v>
      </c>
      <c r="Q28" s="182" t="s">
        <v>492</v>
      </c>
      <c r="R28" s="5">
        <v>19652</v>
      </c>
      <c r="S28" s="149">
        <v>20098.15</v>
      </c>
      <c r="T28" s="149">
        <v>-446.15000000000146</v>
      </c>
      <c r="U28" s="150">
        <v>-1.4779288903810084E-12</v>
      </c>
      <c r="V28" s="5" t="e">
        <v>#REF!</v>
      </c>
      <c r="W28" s="5" t="e">
        <v>#REF!</v>
      </c>
      <c r="X28" s="5"/>
      <c r="Y28" s="5"/>
      <c r="Z28" s="5"/>
      <c r="AA28" s="5"/>
      <c r="AB28" s="5"/>
      <c r="AC28" s="5"/>
      <c r="AD28" s="5"/>
      <c r="AE28" s="5"/>
      <c r="AF28" s="5"/>
      <c r="AG28" s="5"/>
      <c r="AH28" s="5"/>
      <c r="AI28" s="5"/>
      <c r="AJ28" s="5"/>
      <c r="AK28" s="5"/>
    </row>
    <row r="29" spans="1:37" ht="15" customHeight="1">
      <c r="A29" s="70">
        <v>122</v>
      </c>
      <c r="B29" s="70" t="s">
        <v>82</v>
      </c>
      <c r="C29" s="45">
        <v>32032</v>
      </c>
      <c r="D29" s="42">
        <v>-1118.67</v>
      </c>
      <c r="E29" s="252"/>
      <c r="F29" s="29">
        <v>1.034923513986014</v>
      </c>
      <c r="G29" s="36"/>
      <c r="H29" s="36"/>
      <c r="I29" s="36"/>
      <c r="J29" s="47">
        <v>0</v>
      </c>
      <c r="K29" s="37">
        <v>1118.67</v>
      </c>
      <c r="L29" s="43">
        <v>0</v>
      </c>
      <c r="M29" s="43">
        <v>1118.74</v>
      </c>
      <c r="N29" s="49">
        <v>0.06999999999993634</v>
      </c>
      <c r="O29" s="137">
        <v>1220</v>
      </c>
      <c r="P29" s="137">
        <v>1</v>
      </c>
      <c r="Q29" s="182" t="s">
        <v>492</v>
      </c>
      <c r="R29" s="5">
        <v>32032</v>
      </c>
      <c r="S29" s="149">
        <v>33150.74</v>
      </c>
      <c r="T29" s="149">
        <v>-1118.739999999998</v>
      </c>
      <c r="U29" s="150">
        <v>2.0463630789890885E-12</v>
      </c>
      <c r="V29" s="5" t="e">
        <v>#REF!</v>
      </c>
      <c r="W29" s="5" t="e">
        <v>#REF!</v>
      </c>
      <c r="X29" s="5"/>
      <c r="Y29" s="5"/>
      <c r="Z29" s="5"/>
      <c r="AA29" s="5"/>
      <c r="AB29" s="5"/>
      <c r="AC29" s="5"/>
      <c r="AD29" s="5"/>
      <c r="AE29" s="5"/>
      <c r="AF29" s="5"/>
      <c r="AG29" s="5"/>
      <c r="AH29" s="5"/>
      <c r="AI29" s="5"/>
      <c r="AJ29" s="5"/>
      <c r="AK29" s="5"/>
    </row>
    <row r="30" spans="1:37" ht="15" customHeight="1">
      <c r="A30" s="254">
        <v>150</v>
      </c>
      <c r="B30" s="254" t="s">
        <v>83</v>
      </c>
      <c r="C30" s="45">
        <v>20000</v>
      </c>
      <c r="D30" s="42">
        <v>15164.12</v>
      </c>
      <c r="E30" s="252"/>
      <c r="F30" s="29">
        <v>0.24179399999999995</v>
      </c>
      <c r="G30" s="36"/>
      <c r="H30" s="36">
        <v>15164.12</v>
      </c>
      <c r="I30" s="36" t="s">
        <v>748</v>
      </c>
      <c r="J30" s="47">
        <v>0</v>
      </c>
      <c r="K30" s="37">
        <v>0</v>
      </c>
      <c r="L30" s="43">
        <v>0</v>
      </c>
      <c r="M30" s="43">
        <v>0</v>
      </c>
      <c r="N30" s="49">
        <v>0</v>
      </c>
      <c r="O30" s="137">
        <v>1200</v>
      </c>
      <c r="P30" s="137">
        <v>1</v>
      </c>
      <c r="Q30" s="182" t="s">
        <v>492</v>
      </c>
      <c r="R30" s="5">
        <v>20000</v>
      </c>
      <c r="S30" s="149">
        <v>20000</v>
      </c>
      <c r="T30" s="149">
        <v>0</v>
      </c>
      <c r="U30" s="150">
        <v>0</v>
      </c>
      <c r="V30" s="5" t="e">
        <v>#REF!</v>
      </c>
      <c r="W30" s="5" t="e">
        <v>#REF!</v>
      </c>
      <c r="X30" s="5"/>
      <c r="Y30" s="5"/>
      <c r="Z30" s="5"/>
      <c r="AA30" s="5"/>
      <c r="AB30" s="5"/>
      <c r="AC30" s="5"/>
      <c r="AD30" s="5"/>
      <c r="AE30" s="5"/>
      <c r="AF30" s="5"/>
      <c r="AG30" s="5"/>
      <c r="AH30" s="5"/>
      <c r="AI30" s="5"/>
      <c r="AJ30" s="5"/>
      <c r="AK30" s="5"/>
    </row>
    <row r="31" spans="1:37" ht="15" customHeight="1">
      <c r="A31" s="70">
        <v>151</v>
      </c>
      <c r="B31" s="70" t="s">
        <v>84</v>
      </c>
      <c r="C31" s="45">
        <v>4000</v>
      </c>
      <c r="D31" s="42">
        <v>3838.24</v>
      </c>
      <c r="E31" s="252"/>
      <c r="F31" s="29">
        <v>0.04044000000000005</v>
      </c>
      <c r="G31" s="36"/>
      <c r="H31" s="36">
        <v>3838.24</v>
      </c>
      <c r="I31" s="253"/>
      <c r="J31" s="47">
        <v>0</v>
      </c>
      <c r="K31" s="37">
        <v>0</v>
      </c>
      <c r="L31" s="43">
        <v>0</v>
      </c>
      <c r="M31" s="43">
        <v>0</v>
      </c>
      <c r="N31" s="49">
        <v>0</v>
      </c>
      <c r="O31" s="137">
        <v>2200</v>
      </c>
      <c r="P31" s="137">
        <v>1</v>
      </c>
      <c r="Q31" s="182" t="s">
        <v>492</v>
      </c>
      <c r="R31" s="5">
        <v>4000</v>
      </c>
      <c r="S31" s="149">
        <v>4000</v>
      </c>
      <c r="T31" s="149">
        <v>0</v>
      </c>
      <c r="U31" s="150">
        <v>0</v>
      </c>
      <c r="V31" s="5" t="e">
        <v>#REF!</v>
      </c>
      <c r="W31" s="5" t="e">
        <v>#REF!</v>
      </c>
      <c r="X31" s="5"/>
      <c r="Y31" s="5"/>
      <c r="Z31" s="5"/>
      <c r="AA31" s="5"/>
      <c r="AB31" s="5"/>
      <c r="AC31" s="5"/>
      <c r="AD31" s="5"/>
      <c r="AE31" s="5"/>
      <c r="AF31" s="5"/>
      <c r="AG31" s="5"/>
      <c r="AH31" s="5"/>
      <c r="AI31" s="5"/>
      <c r="AJ31" s="5"/>
      <c r="AK31" s="5"/>
    </row>
    <row r="32" spans="1:37" ht="15" customHeight="1">
      <c r="A32" s="70">
        <v>158</v>
      </c>
      <c r="B32" s="70" t="s">
        <v>86</v>
      </c>
      <c r="C32" s="45">
        <v>92000</v>
      </c>
      <c r="D32" s="42">
        <v>-1198.38</v>
      </c>
      <c r="E32" s="252"/>
      <c r="F32" s="29">
        <v>1.0130258695652175</v>
      </c>
      <c r="G32" s="36"/>
      <c r="H32" s="36"/>
      <c r="I32" s="38"/>
      <c r="J32" s="47">
        <v>0</v>
      </c>
      <c r="K32" s="37">
        <v>1198.38</v>
      </c>
      <c r="L32" s="43">
        <v>0</v>
      </c>
      <c r="M32" s="43">
        <v>400</v>
      </c>
      <c r="N32" s="49">
        <v>-798.3800000000001</v>
      </c>
      <c r="O32" s="137">
        <v>1240</v>
      </c>
      <c r="P32" s="137">
        <v>1</v>
      </c>
      <c r="Q32" s="182" t="s">
        <v>492</v>
      </c>
      <c r="R32" s="5">
        <v>92000</v>
      </c>
      <c r="S32" s="149">
        <v>92400</v>
      </c>
      <c r="T32" s="149">
        <v>-400</v>
      </c>
      <c r="U32" s="150">
        <v>0</v>
      </c>
      <c r="V32" s="5" t="e">
        <v>#REF!</v>
      </c>
      <c r="W32" s="5" t="e">
        <v>#REF!</v>
      </c>
      <c r="X32" s="5"/>
      <c r="Y32" s="5"/>
      <c r="Z32" s="5"/>
      <c r="AA32" s="5"/>
      <c r="AB32" s="5"/>
      <c r="AC32" s="5"/>
      <c r="AD32" s="5"/>
      <c r="AE32" s="5"/>
      <c r="AF32" s="5"/>
      <c r="AG32" s="5"/>
      <c r="AH32" s="5"/>
      <c r="AI32" s="5"/>
      <c r="AJ32" s="5"/>
      <c r="AK32" s="5"/>
    </row>
    <row r="33" spans="1:37" ht="15" customHeight="1" hidden="1">
      <c r="A33" s="70">
        <v>200</v>
      </c>
      <c r="B33" s="70" t="s">
        <v>556</v>
      </c>
      <c r="C33" s="45">
        <v>-6008596</v>
      </c>
      <c r="D33" s="42">
        <v>-4509251.12</v>
      </c>
      <c r="E33" s="252"/>
      <c r="F33" s="29">
        <v>0.2495333152703227</v>
      </c>
      <c r="G33" s="36">
        <v>4509251.12</v>
      </c>
      <c r="H33" s="36"/>
      <c r="I33" s="38"/>
      <c r="J33" s="47">
        <v>0</v>
      </c>
      <c r="K33" s="37">
        <v>0</v>
      </c>
      <c r="L33" s="43">
        <v>0</v>
      </c>
      <c r="M33" s="43">
        <v>0</v>
      </c>
      <c r="N33" s="49">
        <v>0</v>
      </c>
      <c r="O33" s="137">
        <v>5100</v>
      </c>
      <c r="P33" s="137">
        <v>1</v>
      </c>
      <c r="Q33" s="182" t="s">
        <v>492</v>
      </c>
      <c r="R33" s="5">
        <v>-6008596</v>
      </c>
      <c r="S33" s="149">
        <v>-6008596</v>
      </c>
      <c r="T33" s="149">
        <v>0</v>
      </c>
      <c r="U33" s="150">
        <v>0</v>
      </c>
      <c r="V33" s="5" t="e">
        <v>#REF!</v>
      </c>
      <c r="W33" s="5" t="e">
        <v>#REF!</v>
      </c>
      <c r="X33" s="5"/>
      <c r="Y33" s="5"/>
      <c r="Z33" s="5"/>
      <c r="AA33" s="5"/>
      <c r="AB33" s="5"/>
      <c r="AC33" s="5"/>
      <c r="AD33" s="5"/>
      <c r="AE33" s="5"/>
      <c r="AF33" s="5"/>
      <c r="AG33" s="5"/>
      <c r="AH33" s="5"/>
      <c r="AI33" s="5"/>
      <c r="AJ33" s="5"/>
      <c r="AK33" s="5"/>
    </row>
    <row r="34" spans="1:37" ht="15" customHeight="1">
      <c r="A34" s="70">
        <v>201</v>
      </c>
      <c r="B34" s="70" t="s">
        <v>88</v>
      </c>
      <c r="C34" s="45">
        <v>-313570</v>
      </c>
      <c r="D34" s="42">
        <v>-151748</v>
      </c>
      <c r="E34" s="252"/>
      <c r="F34" s="29">
        <v>0.5160633989220907</v>
      </c>
      <c r="G34" s="36">
        <v>151748</v>
      </c>
      <c r="H34" s="36"/>
      <c r="I34" s="38"/>
      <c r="J34" s="47">
        <v>0</v>
      </c>
      <c r="K34" s="37">
        <v>0</v>
      </c>
      <c r="L34" s="43">
        <v>0</v>
      </c>
      <c r="M34" s="43">
        <v>0</v>
      </c>
      <c r="N34" s="49">
        <v>0</v>
      </c>
      <c r="O34" s="137">
        <v>5300</v>
      </c>
      <c r="P34" s="137">
        <v>1</v>
      </c>
      <c r="Q34" s="182" t="s">
        <v>492</v>
      </c>
      <c r="R34" s="5">
        <v>-313570</v>
      </c>
      <c r="S34" s="149">
        <v>-313570</v>
      </c>
      <c r="T34" s="149">
        <v>0</v>
      </c>
      <c r="U34" s="150">
        <v>0</v>
      </c>
      <c r="V34" s="5" t="e">
        <v>#REF!</v>
      </c>
      <c r="W34" s="5" t="e">
        <v>#REF!</v>
      </c>
      <c r="X34" s="5"/>
      <c r="Y34" s="5"/>
      <c r="Z34" s="5"/>
      <c r="AA34" s="5"/>
      <c r="AB34" s="5"/>
      <c r="AC34" s="5"/>
      <c r="AD34" s="5"/>
      <c r="AE34" s="5"/>
      <c r="AF34" s="5"/>
      <c r="AG34" s="5"/>
      <c r="AH34" s="5"/>
      <c r="AI34" s="5"/>
      <c r="AJ34" s="5"/>
      <c r="AK34" s="5"/>
    </row>
    <row r="35" spans="1:37" ht="15" customHeight="1">
      <c r="A35" s="70">
        <v>202</v>
      </c>
      <c r="B35" s="70" t="s">
        <v>557</v>
      </c>
      <c r="C35" s="45">
        <v>-188883</v>
      </c>
      <c r="D35" s="42">
        <v>-188883</v>
      </c>
      <c r="E35" s="252"/>
      <c r="F35" s="29">
        <v>0</v>
      </c>
      <c r="G35" s="36">
        <v>188883</v>
      </c>
      <c r="H35" s="36"/>
      <c r="I35" s="257"/>
      <c r="J35" s="47">
        <v>0</v>
      </c>
      <c r="K35" s="37">
        <v>0</v>
      </c>
      <c r="L35" s="43">
        <v>0</v>
      </c>
      <c r="M35" s="43">
        <v>0</v>
      </c>
      <c r="N35" s="49">
        <v>0</v>
      </c>
      <c r="O35" s="137">
        <v>5200</v>
      </c>
      <c r="P35" s="137">
        <v>1</v>
      </c>
      <c r="Q35" s="182" t="s">
        <v>492</v>
      </c>
      <c r="R35" s="5">
        <v>-188883</v>
      </c>
      <c r="S35" s="149">
        <v>-188883</v>
      </c>
      <c r="T35" s="149">
        <v>0</v>
      </c>
      <c r="U35" s="150">
        <v>0</v>
      </c>
      <c r="V35" s="5" t="e">
        <v>#REF!</v>
      </c>
      <c r="W35" s="5" t="e">
        <v>#REF!</v>
      </c>
      <c r="X35" s="5"/>
      <c r="Y35" s="5"/>
      <c r="Z35" s="5"/>
      <c r="AA35" s="5"/>
      <c r="AB35" s="5"/>
      <c r="AC35" s="5"/>
      <c r="AD35" s="5"/>
      <c r="AE35" s="5"/>
      <c r="AF35" s="5"/>
      <c r="AG35" s="5"/>
      <c r="AH35" s="5"/>
      <c r="AI35" s="5"/>
      <c r="AJ35" s="5"/>
      <c r="AK35" s="5"/>
    </row>
    <row r="36" spans="1:37" ht="15" customHeight="1">
      <c r="A36" s="70">
        <v>203</v>
      </c>
      <c r="B36" s="70" t="s">
        <v>558</v>
      </c>
      <c r="C36" s="45">
        <v>-142534</v>
      </c>
      <c r="D36" s="42">
        <v>-142534</v>
      </c>
      <c r="E36" s="252"/>
      <c r="F36" s="29">
        <v>0</v>
      </c>
      <c r="G36" s="36">
        <v>142534</v>
      </c>
      <c r="H36" s="36"/>
      <c r="I36" s="257"/>
      <c r="J36" s="47">
        <v>0</v>
      </c>
      <c r="K36" s="37">
        <v>0</v>
      </c>
      <c r="L36" s="43">
        <v>0</v>
      </c>
      <c r="M36" s="43">
        <v>0</v>
      </c>
      <c r="N36" s="49">
        <v>0</v>
      </c>
      <c r="O36" s="137">
        <v>5200</v>
      </c>
      <c r="P36" s="137">
        <v>1</v>
      </c>
      <c r="Q36" s="182" t="s">
        <v>492</v>
      </c>
      <c r="R36" s="5">
        <v>-142534</v>
      </c>
      <c r="S36" s="149">
        <v>-142534</v>
      </c>
      <c r="T36" s="149">
        <v>0</v>
      </c>
      <c r="U36" s="150">
        <v>0</v>
      </c>
      <c r="V36" s="5" t="e">
        <v>#REF!</v>
      </c>
      <c r="W36" s="5" t="e">
        <v>#REF!</v>
      </c>
      <c r="X36" s="5"/>
      <c r="Y36" s="5"/>
      <c r="Z36" s="5"/>
      <c r="AA36" s="5"/>
      <c r="AB36" s="5"/>
      <c r="AC36" s="5"/>
      <c r="AD36" s="5"/>
      <c r="AE36" s="5"/>
      <c r="AF36" s="5"/>
      <c r="AG36" s="5"/>
      <c r="AH36" s="5"/>
      <c r="AI36" s="5"/>
      <c r="AJ36" s="5"/>
      <c r="AK36" s="5"/>
    </row>
    <row r="37" spans="1:37" ht="15" customHeight="1">
      <c r="A37" s="70">
        <v>217</v>
      </c>
      <c r="B37" s="70" t="s">
        <v>93</v>
      </c>
      <c r="C37" s="45">
        <v>0</v>
      </c>
      <c r="D37" s="42">
        <v>0</v>
      </c>
      <c r="E37" s="252"/>
      <c r="F37" s="29" t="s">
        <v>596</v>
      </c>
      <c r="G37" s="36"/>
      <c r="H37" s="36"/>
      <c r="I37" s="38"/>
      <c r="J37" s="47">
        <v>0</v>
      </c>
      <c r="K37" s="37">
        <v>0</v>
      </c>
      <c r="L37" s="43">
        <v>1000</v>
      </c>
      <c r="M37" s="43">
        <v>0</v>
      </c>
      <c r="N37" s="49">
        <v>-1000</v>
      </c>
      <c r="O37" s="137">
        <v>5300</v>
      </c>
      <c r="P37" s="137">
        <v>1</v>
      </c>
      <c r="Q37" s="182" t="s">
        <v>492</v>
      </c>
      <c r="R37" s="5">
        <v>0</v>
      </c>
      <c r="S37" s="149">
        <v>-1000</v>
      </c>
      <c r="T37" s="149">
        <v>1000</v>
      </c>
      <c r="U37" s="150">
        <v>0</v>
      </c>
      <c r="V37" s="5" t="e">
        <v>#REF!</v>
      </c>
      <c r="W37" s="5" t="e">
        <v>#REF!</v>
      </c>
      <c r="X37" s="5"/>
      <c r="Y37" s="5"/>
      <c r="Z37" s="5"/>
      <c r="AA37" s="5"/>
      <c r="AB37" s="5"/>
      <c r="AC37" s="5"/>
      <c r="AD37" s="5"/>
      <c r="AE37" s="5"/>
      <c r="AF37" s="5"/>
      <c r="AG37" s="5"/>
      <c r="AH37" s="5"/>
      <c r="AI37" s="5"/>
      <c r="AJ37" s="5"/>
      <c r="AK37" s="5"/>
    </row>
    <row r="38" spans="1:37" ht="15" customHeight="1">
      <c r="A38" s="70">
        <v>250</v>
      </c>
      <c r="B38" s="70" t="s">
        <v>96</v>
      </c>
      <c r="C38" s="45">
        <v>0</v>
      </c>
      <c r="D38" s="42">
        <v>0</v>
      </c>
      <c r="E38" s="252"/>
      <c r="F38" s="29" t="s">
        <v>596</v>
      </c>
      <c r="G38" s="36"/>
      <c r="H38" s="36"/>
      <c r="I38" s="38"/>
      <c r="J38" s="47">
        <v>0</v>
      </c>
      <c r="K38" s="37">
        <v>0</v>
      </c>
      <c r="L38" s="43">
        <v>0</v>
      </c>
      <c r="M38" s="43">
        <v>0</v>
      </c>
      <c r="N38" s="49">
        <v>0</v>
      </c>
      <c r="O38" s="137">
        <v>6200</v>
      </c>
      <c r="P38" s="137">
        <v>1</v>
      </c>
      <c r="Q38" s="182" t="s">
        <v>492</v>
      </c>
      <c r="R38" s="5">
        <v>0</v>
      </c>
      <c r="S38" s="149">
        <v>0</v>
      </c>
      <c r="T38" s="149">
        <v>0</v>
      </c>
      <c r="U38" s="150">
        <v>0</v>
      </c>
      <c r="V38" s="5" t="e">
        <v>#REF!</v>
      </c>
      <c r="W38" s="5" t="e">
        <v>#REF!</v>
      </c>
      <c r="X38" s="5"/>
      <c r="Y38" s="5"/>
      <c r="Z38" s="5"/>
      <c r="AA38" s="5"/>
      <c r="AB38" s="5"/>
      <c r="AC38" s="5"/>
      <c r="AD38" s="5"/>
      <c r="AE38" s="5"/>
      <c r="AF38" s="5"/>
      <c r="AG38" s="5"/>
      <c r="AH38" s="5"/>
      <c r="AI38" s="5"/>
      <c r="AJ38" s="5"/>
      <c r="AK38" s="5"/>
    </row>
    <row r="39" spans="1:37" ht="15" customHeight="1" hidden="1">
      <c r="A39" s="70">
        <v>251</v>
      </c>
      <c r="B39" s="70" t="s">
        <v>522</v>
      </c>
      <c r="C39" s="45">
        <v>0</v>
      </c>
      <c r="D39" s="42">
        <v>0</v>
      </c>
      <c r="E39" s="252"/>
      <c r="F39" s="29" t="s">
        <v>596</v>
      </c>
      <c r="G39" s="36"/>
      <c r="H39" s="36"/>
      <c r="I39" s="38"/>
      <c r="J39" s="47">
        <v>0</v>
      </c>
      <c r="K39" s="37">
        <v>0</v>
      </c>
      <c r="L39" s="43">
        <v>0</v>
      </c>
      <c r="M39" s="43">
        <v>0</v>
      </c>
      <c r="N39" s="49">
        <v>0</v>
      </c>
      <c r="O39" s="137">
        <v>6200</v>
      </c>
      <c r="P39" s="137">
        <v>1</v>
      </c>
      <c r="Q39" s="182" t="s">
        <v>492</v>
      </c>
      <c r="R39" s="5">
        <v>0</v>
      </c>
      <c r="S39" s="149">
        <v>0</v>
      </c>
      <c r="T39" s="149">
        <v>0</v>
      </c>
      <c r="U39" s="150">
        <v>0</v>
      </c>
      <c r="V39" s="5" t="e">
        <v>#REF!</v>
      </c>
      <c r="W39" s="5" t="e">
        <v>#REF!</v>
      </c>
      <c r="X39" s="5"/>
      <c r="Y39" s="5"/>
      <c r="Z39" s="5"/>
      <c r="AA39" s="5"/>
      <c r="AB39" s="5"/>
      <c r="AC39" s="5"/>
      <c r="AD39" s="5"/>
      <c r="AE39" s="5"/>
      <c r="AF39" s="5"/>
      <c r="AG39" s="5"/>
      <c r="AH39" s="5"/>
      <c r="AI39" s="5"/>
      <c r="AJ39" s="5"/>
      <c r="AK39" s="5"/>
    </row>
    <row r="40" spans="1:37" ht="15" customHeight="1" hidden="1">
      <c r="A40" s="70">
        <v>254</v>
      </c>
      <c r="B40" s="70" t="s">
        <v>696</v>
      </c>
      <c r="C40" s="45">
        <v>-789570</v>
      </c>
      <c r="D40" s="42">
        <v>-39479</v>
      </c>
      <c r="E40" s="252"/>
      <c r="F40" s="29">
        <v>0.9499993667439239</v>
      </c>
      <c r="G40" s="36">
        <v>39479</v>
      </c>
      <c r="H40" s="36"/>
      <c r="I40" s="38"/>
      <c r="J40" s="47">
        <v>0</v>
      </c>
      <c r="K40" s="37">
        <v>0</v>
      </c>
      <c r="L40" s="43">
        <v>0</v>
      </c>
      <c r="M40" s="43">
        <v>0</v>
      </c>
      <c r="N40" s="49">
        <v>0</v>
      </c>
      <c r="O40" s="137">
        <v>6200</v>
      </c>
      <c r="P40" s="137">
        <v>1</v>
      </c>
      <c r="Q40" s="182" t="s">
        <v>492</v>
      </c>
      <c r="R40" s="5">
        <v>-789570</v>
      </c>
      <c r="S40" s="149">
        <v>-789570</v>
      </c>
      <c r="T40" s="149">
        <v>0</v>
      </c>
      <c r="U40" s="150">
        <v>0</v>
      </c>
      <c r="V40" s="5" t="e">
        <v>#REF!</v>
      </c>
      <c r="W40" s="5" t="e">
        <v>#REF!</v>
      </c>
      <c r="X40" s="5"/>
      <c r="Y40" s="5"/>
      <c r="Z40" s="5"/>
      <c r="AA40" s="5"/>
      <c r="AB40" s="5"/>
      <c r="AC40" s="5"/>
      <c r="AD40" s="5"/>
      <c r="AE40" s="5"/>
      <c r="AF40" s="5"/>
      <c r="AG40" s="5"/>
      <c r="AH40" s="5"/>
      <c r="AI40" s="5"/>
      <c r="AJ40" s="5"/>
      <c r="AK40" s="5"/>
    </row>
    <row r="41" spans="1:37" ht="15" customHeight="1">
      <c r="A41" s="70">
        <v>256</v>
      </c>
      <c r="B41" s="70" t="s">
        <v>613</v>
      </c>
      <c r="C41" s="45">
        <v>0</v>
      </c>
      <c r="D41" s="42">
        <v>0</v>
      </c>
      <c r="E41" s="252"/>
      <c r="F41" s="29" t="s">
        <v>596</v>
      </c>
      <c r="G41" s="36"/>
      <c r="H41" s="36"/>
      <c r="I41" s="253"/>
      <c r="J41" s="47">
        <v>0</v>
      </c>
      <c r="K41" s="37">
        <v>0</v>
      </c>
      <c r="L41" s="43">
        <v>0</v>
      </c>
      <c r="M41" s="43">
        <v>0</v>
      </c>
      <c r="N41" s="49">
        <v>0</v>
      </c>
      <c r="O41" s="137">
        <v>6200</v>
      </c>
      <c r="P41" s="137">
        <v>1</v>
      </c>
      <c r="Q41" s="182" t="s">
        <v>492</v>
      </c>
      <c r="R41" s="5">
        <v>0</v>
      </c>
      <c r="S41" s="149">
        <v>0</v>
      </c>
      <c r="T41" s="149">
        <v>0</v>
      </c>
      <c r="U41" s="150">
        <v>0</v>
      </c>
      <c r="V41" s="5" t="e">
        <v>#REF!</v>
      </c>
      <c r="W41" s="5" t="e">
        <v>#REF!</v>
      </c>
      <c r="X41" s="5"/>
      <c r="Y41" s="5"/>
      <c r="Z41" s="5"/>
      <c r="AA41" s="5"/>
      <c r="AB41" s="5"/>
      <c r="AC41" s="5"/>
      <c r="AD41" s="5"/>
      <c r="AE41" s="5"/>
      <c r="AF41" s="5"/>
      <c r="AG41" s="5"/>
      <c r="AH41" s="5"/>
      <c r="AI41" s="5"/>
      <c r="AJ41" s="5"/>
      <c r="AK41" s="5"/>
    </row>
    <row r="42" spans="1:37" ht="15" customHeight="1" hidden="1">
      <c r="A42" s="70">
        <v>299</v>
      </c>
      <c r="B42" s="70" t="s">
        <v>559</v>
      </c>
      <c r="C42" s="45">
        <v>0</v>
      </c>
      <c r="D42" s="42">
        <v>0</v>
      </c>
      <c r="E42" s="252"/>
      <c r="F42" s="29" t="s">
        <v>596</v>
      </c>
      <c r="G42" s="36"/>
      <c r="H42" s="36"/>
      <c r="I42" s="36"/>
      <c r="J42" s="47">
        <v>0</v>
      </c>
      <c r="K42" s="37">
        <v>0</v>
      </c>
      <c r="L42" s="43">
        <v>0</v>
      </c>
      <c r="M42" s="43">
        <v>0</v>
      </c>
      <c r="N42" s="49">
        <v>0</v>
      </c>
      <c r="O42" s="137">
        <v>3200</v>
      </c>
      <c r="P42" s="137">
        <v>1</v>
      </c>
      <c r="Q42" s="182" t="s">
        <v>492</v>
      </c>
      <c r="R42" s="5">
        <v>0</v>
      </c>
      <c r="S42" s="149">
        <v>0</v>
      </c>
      <c r="T42" s="149">
        <v>0</v>
      </c>
      <c r="U42" s="150">
        <v>0</v>
      </c>
      <c r="V42" s="5" t="e">
        <v>#REF!</v>
      </c>
      <c r="W42" s="5" t="e">
        <v>#REF!</v>
      </c>
      <c r="X42" s="5"/>
      <c r="Y42" s="5"/>
      <c r="Z42" s="5"/>
      <c r="AA42" s="5"/>
      <c r="AB42" s="5"/>
      <c r="AC42" s="5"/>
      <c r="AD42" s="5"/>
      <c r="AE42" s="5"/>
      <c r="AF42" s="5"/>
      <c r="AG42" s="5"/>
      <c r="AH42" s="5"/>
      <c r="AI42" s="5"/>
      <c r="AJ42" s="5"/>
      <c r="AK42" s="5"/>
    </row>
    <row r="43" spans="1:37" ht="15" customHeight="1">
      <c r="A43" s="254">
        <v>300</v>
      </c>
      <c r="B43" s="254" t="s">
        <v>560</v>
      </c>
      <c r="C43" s="45">
        <v>17</v>
      </c>
      <c r="D43" s="42">
        <v>17</v>
      </c>
      <c r="E43" s="252"/>
      <c r="F43" s="29">
        <v>0</v>
      </c>
      <c r="G43" s="36"/>
      <c r="H43" s="36"/>
      <c r="I43" s="36"/>
      <c r="J43" s="47">
        <v>17</v>
      </c>
      <c r="K43" s="37">
        <v>0</v>
      </c>
      <c r="L43" s="43">
        <v>17</v>
      </c>
      <c r="M43" s="43">
        <v>0</v>
      </c>
      <c r="N43" s="49">
        <v>0</v>
      </c>
      <c r="O43" s="137">
        <v>3200</v>
      </c>
      <c r="P43" s="137">
        <v>1</v>
      </c>
      <c r="Q43" s="182" t="s">
        <v>492</v>
      </c>
      <c r="R43" s="5">
        <v>17</v>
      </c>
      <c r="S43" s="149">
        <v>0</v>
      </c>
      <c r="T43" s="149">
        <v>17</v>
      </c>
      <c r="U43" s="150">
        <v>0</v>
      </c>
      <c r="V43" s="5" t="e">
        <v>#REF!</v>
      </c>
      <c r="W43" s="5" t="e">
        <v>#REF!</v>
      </c>
      <c r="X43" s="5"/>
      <c r="Y43" s="5"/>
      <c r="Z43" s="5"/>
      <c r="AA43" s="5"/>
      <c r="AB43" s="5"/>
      <c r="AC43" s="5"/>
      <c r="AD43" s="5"/>
      <c r="AE43" s="5"/>
      <c r="AF43" s="5"/>
      <c r="AG43" s="5"/>
      <c r="AH43" s="5"/>
      <c r="AI43" s="5"/>
      <c r="AJ43" s="5"/>
      <c r="AK43" s="5"/>
    </row>
    <row r="44" spans="1:37" ht="15" customHeight="1">
      <c r="A44" s="254">
        <v>301</v>
      </c>
      <c r="B44" s="254" t="s">
        <v>99</v>
      </c>
      <c r="C44" s="45">
        <v>2200</v>
      </c>
      <c r="D44" s="42">
        <v>1806.48</v>
      </c>
      <c r="E44" s="252"/>
      <c r="F44" s="29">
        <v>0.17887272727272727</v>
      </c>
      <c r="G44" s="36"/>
      <c r="H44" s="36">
        <v>1806.48</v>
      </c>
      <c r="I44" s="36"/>
      <c r="J44" s="47">
        <v>0</v>
      </c>
      <c r="K44" s="37">
        <v>0</v>
      </c>
      <c r="L44" s="43">
        <v>0</v>
      </c>
      <c r="M44" s="43">
        <v>0</v>
      </c>
      <c r="N44" s="49">
        <v>0</v>
      </c>
      <c r="O44" s="137">
        <v>1600</v>
      </c>
      <c r="P44" s="137">
        <v>1</v>
      </c>
      <c r="Q44" s="182" t="s">
        <v>492</v>
      </c>
      <c r="R44" s="5">
        <v>2200</v>
      </c>
      <c r="S44" s="149">
        <v>2200</v>
      </c>
      <c r="T44" s="149">
        <v>0</v>
      </c>
      <c r="U44" s="150">
        <v>0</v>
      </c>
      <c r="V44" s="5" t="e">
        <v>#REF!</v>
      </c>
      <c r="W44" s="5" t="e">
        <v>#REF!</v>
      </c>
      <c r="X44" s="5"/>
      <c r="Y44" s="5"/>
      <c r="Z44" s="5"/>
      <c r="AA44" s="5"/>
      <c r="AB44" s="5"/>
      <c r="AC44" s="5"/>
      <c r="AD44" s="5"/>
      <c r="AE44" s="5"/>
      <c r="AF44" s="5"/>
      <c r="AG44" s="5"/>
      <c r="AH44" s="5"/>
      <c r="AI44" s="5"/>
      <c r="AJ44" s="5"/>
      <c r="AK44" s="5"/>
    </row>
    <row r="45" spans="1:37" ht="15" customHeight="1">
      <c r="A45" s="254">
        <v>302</v>
      </c>
      <c r="B45" s="254" t="s">
        <v>626</v>
      </c>
      <c r="C45" s="45">
        <v>3000</v>
      </c>
      <c r="D45" s="42">
        <v>1878.59</v>
      </c>
      <c r="E45" s="252"/>
      <c r="F45" s="29">
        <v>0.3738033333333334</v>
      </c>
      <c r="G45" s="253"/>
      <c r="H45" s="36">
        <v>1878.59</v>
      </c>
      <c r="I45" s="36"/>
      <c r="J45" s="47">
        <v>0</v>
      </c>
      <c r="K45" s="37">
        <v>0</v>
      </c>
      <c r="L45" s="43">
        <v>0</v>
      </c>
      <c r="M45" s="43">
        <v>0</v>
      </c>
      <c r="N45" s="49">
        <v>0</v>
      </c>
      <c r="O45" s="137">
        <v>1600</v>
      </c>
      <c r="P45" s="137">
        <v>1</v>
      </c>
      <c r="Q45" s="182" t="s">
        <v>492</v>
      </c>
      <c r="R45" s="5">
        <v>3000</v>
      </c>
      <c r="S45" s="149">
        <v>3000</v>
      </c>
      <c r="T45" s="149">
        <v>0</v>
      </c>
      <c r="U45" s="150">
        <v>0</v>
      </c>
      <c r="V45" s="5" t="e">
        <v>#REF!</v>
      </c>
      <c r="W45" s="5" t="e">
        <v>#REF!</v>
      </c>
      <c r="X45" s="5"/>
      <c r="Y45" s="5"/>
      <c r="Z45" s="5"/>
      <c r="AA45" s="5"/>
      <c r="AB45" s="5"/>
      <c r="AC45" s="5"/>
      <c r="AD45" s="5"/>
      <c r="AE45" s="5"/>
      <c r="AF45" s="5"/>
      <c r="AG45" s="5"/>
      <c r="AH45" s="5"/>
      <c r="AI45" s="5"/>
      <c r="AJ45" s="5"/>
      <c r="AK45" s="5"/>
    </row>
    <row r="46" spans="1:37" ht="15" customHeight="1">
      <c r="A46" s="70">
        <v>303</v>
      </c>
      <c r="B46" s="70" t="s">
        <v>100</v>
      </c>
      <c r="C46" s="45">
        <v>1700</v>
      </c>
      <c r="D46" s="42">
        <v>805.85</v>
      </c>
      <c r="E46" s="252"/>
      <c r="F46" s="29">
        <v>0.5259705882352941</v>
      </c>
      <c r="G46" s="36"/>
      <c r="H46" s="36">
        <v>805.85</v>
      </c>
      <c r="I46" s="36"/>
      <c r="J46" s="47">
        <v>0</v>
      </c>
      <c r="K46" s="37">
        <v>0</v>
      </c>
      <c r="L46" s="43">
        <v>0</v>
      </c>
      <c r="M46" s="43">
        <v>0</v>
      </c>
      <c r="N46" s="49">
        <v>0</v>
      </c>
      <c r="O46" s="137">
        <v>1600</v>
      </c>
      <c r="P46" s="137">
        <v>1</v>
      </c>
      <c r="Q46" s="182" t="s">
        <v>492</v>
      </c>
      <c r="R46" s="5">
        <v>1700</v>
      </c>
      <c r="S46" s="149">
        <v>1700</v>
      </c>
      <c r="T46" s="149">
        <v>0</v>
      </c>
      <c r="U46" s="150">
        <v>0</v>
      </c>
      <c r="V46" s="5" t="e">
        <v>#REF!</v>
      </c>
      <c r="W46" s="5" t="e">
        <v>#REF!</v>
      </c>
      <c r="X46" s="5"/>
      <c r="Y46" s="5"/>
      <c r="Z46" s="5"/>
      <c r="AA46" s="5"/>
      <c r="AB46" s="5"/>
      <c r="AC46" s="5"/>
      <c r="AD46" s="5"/>
      <c r="AE46" s="5"/>
      <c r="AF46" s="5"/>
      <c r="AG46" s="5"/>
      <c r="AH46" s="5"/>
      <c r="AI46" s="5"/>
      <c r="AJ46" s="5"/>
      <c r="AK46" s="5"/>
    </row>
    <row r="47" spans="1:37" ht="15" customHeight="1">
      <c r="A47" s="70" t="s">
        <v>101</v>
      </c>
      <c r="B47" s="70" t="s">
        <v>102</v>
      </c>
      <c r="C47" s="45">
        <v>1865</v>
      </c>
      <c r="D47" s="42">
        <v>1014.45</v>
      </c>
      <c r="E47" s="252"/>
      <c r="F47" s="29">
        <v>0.45605898123324395</v>
      </c>
      <c r="G47" s="36"/>
      <c r="H47" s="36">
        <v>1014.45</v>
      </c>
      <c r="I47" s="36"/>
      <c r="J47" s="47">
        <v>0</v>
      </c>
      <c r="K47" s="37">
        <v>0</v>
      </c>
      <c r="L47" s="43">
        <v>0</v>
      </c>
      <c r="M47" s="43">
        <v>0</v>
      </c>
      <c r="N47" s="49">
        <v>0</v>
      </c>
      <c r="O47" s="137">
        <v>1600</v>
      </c>
      <c r="P47" s="137">
        <v>1</v>
      </c>
      <c r="Q47" s="182" t="s">
        <v>492</v>
      </c>
      <c r="R47" s="5">
        <v>1865</v>
      </c>
      <c r="S47" s="149">
        <v>1865</v>
      </c>
      <c r="T47" s="149">
        <v>0</v>
      </c>
      <c r="U47" s="150">
        <v>0</v>
      </c>
      <c r="V47" s="5" t="e">
        <v>#REF!</v>
      </c>
      <c r="W47" s="5" t="e">
        <v>#REF!</v>
      </c>
      <c r="X47" s="5"/>
      <c r="Y47" s="5"/>
      <c r="Z47" s="5"/>
      <c r="AA47" s="5"/>
      <c r="AB47" s="5"/>
      <c r="AC47" s="5"/>
      <c r="AD47" s="5"/>
      <c r="AE47" s="5"/>
      <c r="AF47" s="5"/>
      <c r="AG47" s="5"/>
      <c r="AH47" s="5"/>
      <c r="AI47" s="5"/>
      <c r="AJ47" s="5"/>
      <c r="AK47" s="5"/>
    </row>
    <row r="48" spans="1:37" ht="15" customHeight="1">
      <c r="A48" s="70">
        <v>304</v>
      </c>
      <c r="B48" s="70" t="s">
        <v>103</v>
      </c>
      <c r="C48" s="45">
        <v>1300</v>
      </c>
      <c r="D48" s="42">
        <v>308.26</v>
      </c>
      <c r="E48" s="252"/>
      <c r="F48" s="29">
        <v>0.7628769230769231</v>
      </c>
      <c r="G48" s="36"/>
      <c r="H48" s="36">
        <v>308.26</v>
      </c>
      <c r="I48" s="36"/>
      <c r="J48" s="47">
        <v>0</v>
      </c>
      <c r="K48" s="37">
        <v>0</v>
      </c>
      <c r="L48" s="43">
        <v>0</v>
      </c>
      <c r="M48" s="43">
        <v>0</v>
      </c>
      <c r="N48" s="49">
        <v>0</v>
      </c>
      <c r="O48" s="137">
        <v>1600</v>
      </c>
      <c r="P48" s="137">
        <v>1</v>
      </c>
      <c r="Q48" s="182" t="s">
        <v>492</v>
      </c>
      <c r="R48" s="5">
        <v>1300</v>
      </c>
      <c r="S48" s="149">
        <v>1300</v>
      </c>
      <c r="T48" s="149">
        <v>0</v>
      </c>
      <c r="U48" s="150">
        <v>0</v>
      </c>
      <c r="V48" s="5" t="e">
        <v>#REF!</v>
      </c>
      <c r="W48" s="5" t="e">
        <v>#REF!</v>
      </c>
      <c r="X48" s="5"/>
      <c r="Y48" s="5"/>
      <c r="Z48" s="5"/>
      <c r="AA48" s="5"/>
      <c r="AB48" s="5"/>
      <c r="AC48" s="5"/>
      <c r="AD48" s="5"/>
      <c r="AE48" s="5"/>
      <c r="AF48" s="5"/>
      <c r="AG48" s="5"/>
      <c r="AH48" s="5"/>
      <c r="AI48" s="5"/>
      <c r="AJ48" s="5"/>
      <c r="AK48" s="5"/>
    </row>
    <row r="49" spans="1:37" ht="15" customHeight="1">
      <c r="A49" s="70" t="s">
        <v>104</v>
      </c>
      <c r="B49" s="70" t="s">
        <v>105</v>
      </c>
      <c r="C49" s="45">
        <v>3175</v>
      </c>
      <c r="D49" s="42">
        <v>905.78</v>
      </c>
      <c r="E49" s="252"/>
      <c r="F49" s="29">
        <v>0.7147149606299213</v>
      </c>
      <c r="G49" s="36"/>
      <c r="H49" s="36">
        <v>905.78</v>
      </c>
      <c r="I49" s="253"/>
      <c r="J49" s="47">
        <v>0</v>
      </c>
      <c r="K49" s="37">
        <v>0</v>
      </c>
      <c r="L49" s="43">
        <v>0</v>
      </c>
      <c r="M49" s="43">
        <v>0</v>
      </c>
      <c r="N49" s="49">
        <v>0</v>
      </c>
      <c r="O49" s="137">
        <v>1600</v>
      </c>
      <c r="P49" s="137">
        <v>1</v>
      </c>
      <c r="Q49" s="182" t="s">
        <v>492</v>
      </c>
      <c r="R49" s="5">
        <v>175</v>
      </c>
      <c r="S49" s="149">
        <v>175</v>
      </c>
      <c r="T49" s="149">
        <v>0</v>
      </c>
      <c r="U49" s="150">
        <v>0</v>
      </c>
      <c r="V49" s="5" t="e">
        <v>#REF!</v>
      </c>
      <c r="W49" s="5" t="e">
        <v>#REF!</v>
      </c>
      <c r="X49" s="5"/>
      <c r="Y49" s="5"/>
      <c r="Z49" s="5"/>
      <c r="AA49" s="5"/>
      <c r="AB49" s="5"/>
      <c r="AC49" s="5"/>
      <c r="AD49" s="5"/>
      <c r="AE49" s="5"/>
      <c r="AF49" s="5"/>
      <c r="AG49" s="5"/>
      <c r="AH49" s="5"/>
      <c r="AI49" s="5"/>
      <c r="AJ49" s="5"/>
      <c r="AK49" s="5"/>
    </row>
    <row r="50" spans="1:37" ht="15" customHeight="1">
      <c r="A50" s="70">
        <v>305</v>
      </c>
      <c r="B50" s="70" t="s">
        <v>627</v>
      </c>
      <c r="C50" s="45">
        <v>250</v>
      </c>
      <c r="D50" s="42">
        <v>250</v>
      </c>
      <c r="E50" s="252"/>
      <c r="F50" s="29">
        <v>0</v>
      </c>
      <c r="G50" s="36"/>
      <c r="H50" s="36">
        <v>250</v>
      </c>
      <c r="I50" s="253"/>
      <c r="J50" s="47">
        <v>0</v>
      </c>
      <c r="K50" s="37">
        <v>0</v>
      </c>
      <c r="L50" s="43">
        <v>0</v>
      </c>
      <c r="M50" s="43">
        <v>0</v>
      </c>
      <c r="N50" s="49">
        <v>0</v>
      </c>
      <c r="O50" s="137">
        <v>1600</v>
      </c>
      <c r="P50" s="137">
        <v>1</v>
      </c>
      <c r="Q50" s="182" t="s">
        <v>492</v>
      </c>
      <c r="R50" s="5">
        <v>250</v>
      </c>
      <c r="S50" s="149">
        <v>250</v>
      </c>
      <c r="T50" s="149">
        <v>0</v>
      </c>
      <c r="U50" s="150">
        <v>0</v>
      </c>
      <c r="V50" s="5" t="e">
        <v>#REF!</v>
      </c>
      <c r="W50" s="5" t="e">
        <v>#REF!</v>
      </c>
      <c r="X50" s="5"/>
      <c r="Y50" s="5"/>
      <c r="Z50" s="5"/>
      <c r="AA50" s="5"/>
      <c r="AB50" s="5"/>
      <c r="AC50" s="5"/>
      <c r="AD50" s="5"/>
      <c r="AE50" s="5"/>
      <c r="AF50" s="5"/>
      <c r="AG50" s="5"/>
      <c r="AH50" s="5"/>
      <c r="AI50" s="5"/>
      <c r="AJ50" s="5"/>
      <c r="AK50" s="5"/>
    </row>
    <row r="51" spans="1:37" ht="15" customHeight="1">
      <c r="A51" s="70">
        <v>306</v>
      </c>
      <c r="B51" s="70" t="s">
        <v>106</v>
      </c>
      <c r="C51" s="45">
        <v>5200</v>
      </c>
      <c r="D51" s="42">
        <v>3599.12</v>
      </c>
      <c r="E51" s="252"/>
      <c r="F51" s="29">
        <v>0.30786153846153846</v>
      </c>
      <c r="G51" s="36"/>
      <c r="H51" s="36">
        <v>3599.12</v>
      </c>
      <c r="I51" s="253"/>
      <c r="J51" s="47">
        <v>0</v>
      </c>
      <c r="K51" s="37">
        <v>0</v>
      </c>
      <c r="L51" s="43">
        <v>0</v>
      </c>
      <c r="M51" s="43">
        <v>0</v>
      </c>
      <c r="N51" s="49">
        <v>0</v>
      </c>
      <c r="O51" s="137">
        <v>1600</v>
      </c>
      <c r="P51" s="137">
        <v>1</v>
      </c>
      <c r="Q51" s="182" t="s">
        <v>492</v>
      </c>
      <c r="R51" s="5">
        <v>5200</v>
      </c>
      <c r="S51" s="149">
        <v>5200</v>
      </c>
      <c r="T51" s="149">
        <v>0</v>
      </c>
      <c r="U51" s="150">
        <v>0</v>
      </c>
      <c r="V51" s="5" t="e">
        <v>#REF!</v>
      </c>
      <c r="W51" s="5" t="e">
        <v>#REF!</v>
      </c>
      <c r="X51" s="5"/>
      <c r="Y51" s="5"/>
      <c r="Z51" s="5"/>
      <c r="AA51" s="5"/>
      <c r="AB51" s="5"/>
      <c r="AC51" s="5"/>
      <c r="AD51" s="5"/>
      <c r="AE51" s="5"/>
      <c r="AF51" s="5"/>
      <c r="AG51" s="5"/>
      <c r="AH51" s="5"/>
      <c r="AI51" s="5"/>
      <c r="AJ51" s="5"/>
      <c r="AK51" s="5"/>
    </row>
    <row r="52" spans="1:37" ht="15" customHeight="1">
      <c r="A52" s="70">
        <v>307</v>
      </c>
      <c r="B52" s="70" t="s">
        <v>107</v>
      </c>
      <c r="C52" s="45">
        <v>2125</v>
      </c>
      <c r="D52" s="42">
        <v>1944.98</v>
      </c>
      <c r="E52" s="252"/>
      <c r="F52" s="29">
        <v>0.08471529411764706</v>
      </c>
      <c r="G52" s="36"/>
      <c r="H52" s="36">
        <v>1944.98</v>
      </c>
      <c r="I52" s="253"/>
      <c r="J52" s="47">
        <v>0</v>
      </c>
      <c r="K52" s="37">
        <v>0</v>
      </c>
      <c r="L52" s="43">
        <v>0</v>
      </c>
      <c r="M52" s="43">
        <v>0</v>
      </c>
      <c r="N52" s="49">
        <v>0</v>
      </c>
      <c r="O52" s="137">
        <v>1600</v>
      </c>
      <c r="P52" s="137">
        <v>1</v>
      </c>
      <c r="Q52" s="182" t="s">
        <v>492</v>
      </c>
      <c r="R52" s="5">
        <v>2125</v>
      </c>
      <c r="S52" s="149">
        <v>2125</v>
      </c>
      <c r="T52" s="149">
        <v>0</v>
      </c>
      <c r="U52" s="150">
        <v>0</v>
      </c>
      <c r="V52" s="5" t="e">
        <v>#REF!</v>
      </c>
      <c r="W52" s="5" t="e">
        <v>#REF!</v>
      </c>
      <c r="X52" s="5"/>
      <c r="Y52" s="5"/>
      <c r="Z52" s="5"/>
      <c r="AA52" s="5"/>
      <c r="AB52" s="5"/>
      <c r="AC52" s="5"/>
      <c r="AD52" s="5"/>
      <c r="AE52" s="5"/>
      <c r="AF52" s="5"/>
      <c r="AG52" s="5"/>
      <c r="AH52" s="5"/>
      <c r="AI52" s="5"/>
      <c r="AJ52" s="5"/>
      <c r="AK52" s="5"/>
    </row>
    <row r="53" spans="1:37" ht="15" customHeight="1">
      <c r="A53" s="70">
        <v>308</v>
      </c>
      <c r="B53" s="70" t="s">
        <v>628</v>
      </c>
      <c r="C53" s="45">
        <v>1700</v>
      </c>
      <c r="D53" s="42">
        <v>1296.24</v>
      </c>
      <c r="E53" s="252"/>
      <c r="F53" s="29">
        <v>0.23750588235294118</v>
      </c>
      <c r="G53" s="36"/>
      <c r="H53" s="36">
        <v>1296.24</v>
      </c>
      <c r="I53" s="253"/>
      <c r="J53" s="47">
        <v>0</v>
      </c>
      <c r="K53" s="37">
        <v>0</v>
      </c>
      <c r="L53" s="43">
        <v>0</v>
      </c>
      <c r="M53" s="43">
        <v>0</v>
      </c>
      <c r="N53" s="49">
        <v>0</v>
      </c>
      <c r="O53" s="137">
        <v>1600</v>
      </c>
      <c r="P53" s="137">
        <v>1</v>
      </c>
      <c r="Q53" s="182" t="s">
        <v>492</v>
      </c>
      <c r="R53" s="5">
        <v>1700</v>
      </c>
      <c r="S53" s="149">
        <v>1700</v>
      </c>
      <c r="T53" s="149">
        <v>0</v>
      </c>
      <c r="U53" s="150">
        <v>0</v>
      </c>
      <c r="V53" s="5" t="e">
        <v>#REF!</v>
      </c>
      <c r="W53" s="5" t="e">
        <v>#REF!</v>
      </c>
      <c r="X53" s="5"/>
      <c r="Y53" s="5"/>
      <c r="Z53" s="5"/>
      <c r="AA53" s="5"/>
      <c r="AB53" s="5"/>
      <c r="AC53" s="5"/>
      <c r="AD53" s="5"/>
      <c r="AE53" s="5"/>
      <c r="AF53" s="5"/>
      <c r="AG53" s="5"/>
      <c r="AH53" s="5"/>
      <c r="AI53" s="5"/>
      <c r="AJ53" s="5"/>
      <c r="AK53" s="5"/>
    </row>
    <row r="54" spans="1:37" ht="15" customHeight="1">
      <c r="A54" s="70">
        <v>309</v>
      </c>
      <c r="B54" s="70" t="s">
        <v>629</v>
      </c>
      <c r="C54" s="45">
        <v>1700</v>
      </c>
      <c r="D54" s="42">
        <v>248.33</v>
      </c>
      <c r="E54" s="252"/>
      <c r="F54" s="29">
        <v>0.8539235294117647</v>
      </c>
      <c r="G54" s="36"/>
      <c r="H54" s="36">
        <v>248.33</v>
      </c>
      <c r="I54" s="253"/>
      <c r="J54" s="47">
        <v>0</v>
      </c>
      <c r="K54" s="37">
        <v>0</v>
      </c>
      <c r="L54" s="43">
        <v>0</v>
      </c>
      <c r="M54" s="43">
        <v>0</v>
      </c>
      <c r="N54" s="49">
        <v>0</v>
      </c>
      <c r="O54" s="137">
        <v>1600</v>
      </c>
      <c r="P54" s="137">
        <v>1</v>
      </c>
      <c r="Q54" s="182" t="s">
        <v>492</v>
      </c>
      <c r="R54" s="5">
        <v>1700</v>
      </c>
      <c r="S54" s="149">
        <v>1700</v>
      </c>
      <c r="T54" s="149">
        <v>0</v>
      </c>
      <c r="U54" s="150">
        <v>0</v>
      </c>
      <c r="V54" s="5" t="e">
        <v>#REF!</v>
      </c>
      <c r="W54" s="5" t="e">
        <v>#REF!</v>
      </c>
      <c r="X54" s="5"/>
      <c r="Y54" s="5"/>
      <c r="Z54" s="5"/>
      <c r="AA54" s="5"/>
      <c r="AB54" s="5"/>
      <c r="AC54" s="5"/>
      <c r="AD54" s="5"/>
      <c r="AE54" s="5"/>
      <c r="AF54" s="5"/>
      <c r="AG54" s="5"/>
      <c r="AH54" s="5"/>
      <c r="AI54" s="5"/>
      <c r="AJ54" s="5"/>
      <c r="AK54" s="5"/>
    </row>
    <row r="55" spans="1:37" ht="15" customHeight="1">
      <c r="A55" s="70">
        <v>312</v>
      </c>
      <c r="B55" s="193" t="s">
        <v>561</v>
      </c>
      <c r="C55" s="45">
        <v>1275</v>
      </c>
      <c r="D55" s="42">
        <v>1019.83</v>
      </c>
      <c r="E55" s="252"/>
      <c r="F55" s="29">
        <v>0.2001333333333333</v>
      </c>
      <c r="G55" s="36"/>
      <c r="H55" s="36">
        <v>1019.83</v>
      </c>
      <c r="I55" s="253"/>
      <c r="J55" s="47">
        <v>0</v>
      </c>
      <c r="K55" s="37">
        <v>0</v>
      </c>
      <c r="L55" s="43">
        <v>0</v>
      </c>
      <c r="M55" s="43">
        <v>0</v>
      </c>
      <c r="N55" s="49">
        <v>0</v>
      </c>
      <c r="O55" s="137">
        <v>1600</v>
      </c>
      <c r="P55" s="137">
        <v>1</v>
      </c>
      <c r="Q55" s="182" t="s">
        <v>492</v>
      </c>
      <c r="R55" s="5">
        <v>1275</v>
      </c>
      <c r="S55" s="149">
        <v>1275</v>
      </c>
      <c r="T55" s="149">
        <v>0</v>
      </c>
      <c r="U55" s="150">
        <v>0</v>
      </c>
      <c r="V55" s="5" t="e">
        <v>#REF!</v>
      </c>
      <c r="W55" s="5" t="e">
        <v>#REF!</v>
      </c>
      <c r="X55" s="5"/>
      <c r="Y55" s="5"/>
      <c r="Z55" s="5"/>
      <c r="AA55" s="5"/>
      <c r="AB55" s="5"/>
      <c r="AC55" s="5"/>
      <c r="AD55" s="5"/>
      <c r="AE55" s="5"/>
      <c r="AF55" s="5"/>
      <c r="AG55" s="5"/>
      <c r="AH55" s="5"/>
      <c r="AI55" s="5"/>
      <c r="AJ55" s="5"/>
      <c r="AK55" s="5"/>
    </row>
    <row r="56" spans="1:37" ht="15" customHeight="1">
      <c r="A56" s="70">
        <v>313</v>
      </c>
      <c r="B56" s="70" t="s">
        <v>112</v>
      </c>
      <c r="C56" s="45">
        <v>9400</v>
      </c>
      <c r="D56" s="42">
        <v>3642.39</v>
      </c>
      <c r="E56" s="252"/>
      <c r="F56" s="29">
        <v>0.6125117021276596</v>
      </c>
      <c r="G56" s="36"/>
      <c r="H56" s="36">
        <v>3642.39</v>
      </c>
      <c r="I56" s="253"/>
      <c r="J56" s="47">
        <v>0</v>
      </c>
      <c r="K56" s="37">
        <v>0</v>
      </c>
      <c r="L56" s="43">
        <v>0</v>
      </c>
      <c r="M56" s="43">
        <v>0</v>
      </c>
      <c r="N56" s="49">
        <v>0</v>
      </c>
      <c r="O56" s="137">
        <v>1600</v>
      </c>
      <c r="P56" s="137">
        <v>1</v>
      </c>
      <c r="Q56" s="182" t="s">
        <v>492</v>
      </c>
      <c r="R56" s="5">
        <v>9400</v>
      </c>
      <c r="S56" s="149">
        <v>9400</v>
      </c>
      <c r="T56" s="149">
        <v>0</v>
      </c>
      <c r="U56" s="150">
        <v>0</v>
      </c>
      <c r="V56" s="5" t="e">
        <v>#REF!</v>
      </c>
      <c r="W56" s="5" t="e">
        <v>#REF!</v>
      </c>
      <c r="X56" s="5"/>
      <c r="Y56" s="5"/>
      <c r="Z56" s="5"/>
      <c r="AA56" s="5"/>
      <c r="AB56" s="5"/>
      <c r="AC56" s="5"/>
      <c r="AD56" s="5"/>
      <c r="AE56" s="5"/>
      <c r="AF56" s="5"/>
      <c r="AG56" s="5"/>
      <c r="AH56" s="5"/>
      <c r="AI56" s="5"/>
      <c r="AJ56" s="5"/>
      <c r="AK56" s="5"/>
    </row>
    <row r="57" spans="1:37" ht="15" customHeight="1" hidden="1">
      <c r="A57" s="70">
        <v>314</v>
      </c>
      <c r="B57" s="70" t="s">
        <v>630</v>
      </c>
      <c r="C57" s="45">
        <v>1800</v>
      </c>
      <c r="D57" s="42">
        <v>1111.95</v>
      </c>
      <c r="E57" s="252"/>
      <c r="F57" s="29">
        <v>0.38225</v>
      </c>
      <c r="G57" s="36"/>
      <c r="H57" s="36">
        <v>1111.95</v>
      </c>
      <c r="I57" s="36"/>
      <c r="J57" s="47">
        <v>0</v>
      </c>
      <c r="K57" s="37">
        <v>0</v>
      </c>
      <c r="L57" s="43">
        <v>0</v>
      </c>
      <c r="M57" s="43">
        <v>0</v>
      </c>
      <c r="N57" s="49">
        <v>0</v>
      </c>
      <c r="O57" s="137">
        <v>1600</v>
      </c>
      <c r="P57" s="137">
        <v>1</v>
      </c>
      <c r="Q57" s="182" t="s">
        <v>492</v>
      </c>
      <c r="R57" s="5">
        <v>1800</v>
      </c>
      <c r="S57" s="149">
        <v>1800</v>
      </c>
      <c r="T57" s="149">
        <v>0</v>
      </c>
      <c r="U57" s="150">
        <v>0</v>
      </c>
      <c r="V57" s="5" t="e">
        <v>#REF!</v>
      </c>
      <c r="W57" s="5" t="e">
        <v>#REF!</v>
      </c>
      <c r="X57" s="5"/>
      <c r="Y57" s="5"/>
      <c r="Z57" s="5"/>
      <c r="AA57" s="5"/>
      <c r="AB57" s="5"/>
      <c r="AC57" s="5"/>
      <c r="AD57" s="5"/>
      <c r="AE57" s="5"/>
      <c r="AF57" s="5"/>
      <c r="AG57" s="5"/>
      <c r="AH57" s="5"/>
      <c r="AI57" s="5"/>
      <c r="AJ57" s="5"/>
      <c r="AK57" s="5"/>
    </row>
    <row r="58" spans="1:37" ht="15" customHeight="1" hidden="1">
      <c r="A58" s="70">
        <v>316</v>
      </c>
      <c r="B58" s="70" t="s">
        <v>631</v>
      </c>
      <c r="C58" s="45">
        <v>2200</v>
      </c>
      <c r="D58" s="42">
        <v>1837.4</v>
      </c>
      <c r="E58" s="252"/>
      <c r="F58" s="29">
        <v>0.16481818181818178</v>
      </c>
      <c r="G58" s="36"/>
      <c r="H58" s="36">
        <v>1837.4</v>
      </c>
      <c r="I58" s="36"/>
      <c r="J58" s="47">
        <v>0</v>
      </c>
      <c r="K58" s="37">
        <v>0</v>
      </c>
      <c r="L58" s="43">
        <v>0</v>
      </c>
      <c r="M58" s="43">
        <v>0</v>
      </c>
      <c r="N58" s="49">
        <v>0</v>
      </c>
      <c r="O58" s="137">
        <v>1600</v>
      </c>
      <c r="P58" s="137">
        <v>1</v>
      </c>
      <c r="Q58" s="182" t="s">
        <v>492</v>
      </c>
      <c r="R58" s="5">
        <v>2200</v>
      </c>
      <c r="S58" s="149">
        <v>2200</v>
      </c>
      <c r="T58" s="149">
        <v>0</v>
      </c>
      <c r="U58" s="150">
        <v>0</v>
      </c>
      <c r="V58" s="5" t="e">
        <v>#REF!</v>
      </c>
      <c r="W58" s="5" t="e">
        <v>#REF!</v>
      </c>
      <c r="X58" s="5"/>
      <c r="Y58" s="5"/>
      <c r="Z58" s="5"/>
      <c r="AA58" s="5"/>
      <c r="AB58" s="5"/>
      <c r="AC58" s="5"/>
      <c r="AD58" s="5"/>
      <c r="AE58" s="5"/>
      <c r="AF58" s="5"/>
      <c r="AG58" s="5"/>
      <c r="AH58" s="5"/>
      <c r="AI58" s="5"/>
      <c r="AJ58" s="5"/>
      <c r="AK58" s="5"/>
    </row>
    <row r="59" spans="1:37" ht="15" customHeight="1">
      <c r="A59" s="70">
        <v>317</v>
      </c>
      <c r="B59" s="70" t="s">
        <v>118</v>
      </c>
      <c r="C59" s="45">
        <v>1000</v>
      </c>
      <c r="D59" s="42">
        <v>619.87</v>
      </c>
      <c r="E59" s="252"/>
      <c r="F59" s="29">
        <v>0.38012999999999997</v>
      </c>
      <c r="G59" s="36"/>
      <c r="H59" s="36">
        <v>619.87</v>
      </c>
      <c r="I59" s="253"/>
      <c r="J59" s="47">
        <v>0</v>
      </c>
      <c r="K59" s="37">
        <v>0</v>
      </c>
      <c r="L59" s="43">
        <v>0</v>
      </c>
      <c r="M59" s="43">
        <v>0</v>
      </c>
      <c r="N59" s="49">
        <v>0</v>
      </c>
      <c r="O59" s="137">
        <v>1600</v>
      </c>
      <c r="P59" s="137">
        <v>1</v>
      </c>
      <c r="Q59" s="182" t="s">
        <v>492</v>
      </c>
      <c r="R59" s="5">
        <v>1000</v>
      </c>
      <c r="S59" s="149">
        <v>1000</v>
      </c>
      <c r="T59" s="149">
        <v>0</v>
      </c>
      <c r="U59" s="150">
        <v>0</v>
      </c>
      <c r="V59" s="5" t="e">
        <v>#REF!</v>
      </c>
      <c r="W59" s="5" t="e">
        <v>#REF!</v>
      </c>
      <c r="X59" s="5"/>
      <c r="Y59" s="5"/>
      <c r="Z59" s="5"/>
      <c r="AA59" s="5"/>
      <c r="AB59" s="5"/>
      <c r="AC59" s="5"/>
      <c r="AD59" s="5"/>
      <c r="AE59" s="5"/>
      <c r="AF59" s="5"/>
      <c r="AG59" s="5"/>
      <c r="AH59" s="5"/>
      <c r="AI59" s="5"/>
      <c r="AJ59" s="5"/>
      <c r="AK59" s="5"/>
    </row>
    <row r="60" spans="1:37" ht="15" customHeight="1">
      <c r="A60" s="70">
        <v>318</v>
      </c>
      <c r="B60" s="70" t="s">
        <v>697</v>
      </c>
      <c r="C60" s="45">
        <v>448</v>
      </c>
      <c r="D60" s="42">
        <v>245.3</v>
      </c>
      <c r="E60" s="252"/>
      <c r="F60" s="29">
        <v>0.4524553571428571</v>
      </c>
      <c r="G60" s="36"/>
      <c r="H60" s="36">
        <v>245.3</v>
      </c>
      <c r="I60" s="253"/>
      <c r="J60" s="47">
        <v>0</v>
      </c>
      <c r="K60" s="37">
        <v>0</v>
      </c>
      <c r="L60" s="43">
        <v>0</v>
      </c>
      <c r="M60" s="43">
        <v>0</v>
      </c>
      <c r="N60" s="49">
        <v>0</v>
      </c>
      <c r="O60" s="137">
        <v>1600</v>
      </c>
      <c r="P60" s="137">
        <v>1</v>
      </c>
      <c r="Q60" s="182" t="s">
        <v>492</v>
      </c>
      <c r="R60" s="5">
        <v>448</v>
      </c>
      <c r="S60" s="149">
        <v>448</v>
      </c>
      <c r="T60" s="149">
        <v>0</v>
      </c>
      <c r="U60" s="150">
        <v>0</v>
      </c>
      <c r="V60" s="5" t="e">
        <v>#REF!</v>
      </c>
      <c r="W60" s="5" t="e">
        <v>#REF!</v>
      </c>
      <c r="X60" s="5"/>
      <c r="Y60" s="5"/>
      <c r="Z60" s="5"/>
      <c r="AA60" s="5"/>
      <c r="AB60" s="5"/>
      <c r="AC60" s="5"/>
      <c r="AD60" s="5"/>
      <c r="AE60" s="5"/>
      <c r="AF60" s="5"/>
      <c r="AG60" s="5"/>
      <c r="AH60" s="5"/>
      <c r="AI60" s="5"/>
      <c r="AJ60" s="5"/>
      <c r="AK60" s="5"/>
    </row>
    <row r="61" spans="1:37" ht="15" customHeight="1">
      <c r="A61" s="70">
        <v>319</v>
      </c>
      <c r="B61" s="70" t="s">
        <v>120</v>
      </c>
      <c r="C61" s="45">
        <v>4900</v>
      </c>
      <c r="D61" s="42">
        <v>4740.75</v>
      </c>
      <c r="E61" s="252"/>
      <c r="F61" s="29">
        <v>0.0325</v>
      </c>
      <c r="G61" s="36"/>
      <c r="H61" s="36">
        <v>4740.75</v>
      </c>
      <c r="I61" s="253"/>
      <c r="J61" s="47">
        <v>0</v>
      </c>
      <c r="K61" s="37">
        <v>0</v>
      </c>
      <c r="L61" s="43">
        <v>0</v>
      </c>
      <c r="M61" s="43">
        <v>0</v>
      </c>
      <c r="N61" s="49">
        <v>0</v>
      </c>
      <c r="O61" s="137">
        <v>1600</v>
      </c>
      <c r="P61" s="137">
        <v>1</v>
      </c>
      <c r="Q61" s="182" t="s">
        <v>492</v>
      </c>
      <c r="R61" s="5">
        <v>4900</v>
      </c>
      <c r="S61" s="149">
        <v>4900</v>
      </c>
      <c r="T61" s="149">
        <v>0</v>
      </c>
      <c r="U61" s="150">
        <v>0</v>
      </c>
      <c r="V61" s="5" t="e">
        <v>#REF!</v>
      </c>
      <c r="W61" s="5" t="e">
        <v>#REF!</v>
      </c>
      <c r="X61" s="5"/>
      <c r="Y61" s="5"/>
      <c r="Z61" s="5"/>
      <c r="AA61" s="5"/>
      <c r="AB61" s="5"/>
      <c r="AC61" s="5"/>
      <c r="AD61" s="5"/>
      <c r="AE61" s="5"/>
      <c r="AF61" s="5"/>
      <c r="AG61" s="5"/>
      <c r="AH61" s="5"/>
      <c r="AI61" s="5"/>
      <c r="AJ61" s="5"/>
      <c r="AK61" s="5"/>
    </row>
    <row r="62" spans="1:37" ht="15" customHeight="1">
      <c r="A62" s="70">
        <v>320</v>
      </c>
      <c r="B62" s="70" t="s">
        <v>121</v>
      </c>
      <c r="C62" s="45">
        <v>5598</v>
      </c>
      <c r="D62" s="42">
        <v>4541.77</v>
      </c>
      <c r="E62" s="252"/>
      <c r="F62" s="29">
        <v>0.18867988567345473</v>
      </c>
      <c r="G62" s="36"/>
      <c r="H62" s="36">
        <v>4541.77</v>
      </c>
      <c r="I62" s="253"/>
      <c r="J62" s="47">
        <v>0</v>
      </c>
      <c r="K62" s="37">
        <v>0</v>
      </c>
      <c r="L62" s="43">
        <v>0</v>
      </c>
      <c r="M62" s="43">
        <v>0</v>
      </c>
      <c r="N62" s="49">
        <v>0</v>
      </c>
      <c r="O62" s="137">
        <v>1600</v>
      </c>
      <c r="P62" s="137">
        <v>1</v>
      </c>
      <c r="Q62" s="182" t="s">
        <v>492</v>
      </c>
      <c r="R62" s="5">
        <v>5598</v>
      </c>
      <c r="S62" s="149">
        <v>5598</v>
      </c>
      <c r="T62" s="149">
        <v>0</v>
      </c>
      <c r="U62" s="150">
        <v>0</v>
      </c>
      <c r="V62" s="5" t="e">
        <v>#REF!</v>
      </c>
      <c r="W62" s="5" t="e">
        <v>#REF!</v>
      </c>
      <c r="X62" s="5"/>
      <c r="Y62" s="5"/>
      <c r="Z62" s="5"/>
      <c r="AA62" s="5"/>
      <c r="AB62" s="5"/>
      <c r="AC62" s="5"/>
      <c r="AD62" s="5"/>
      <c r="AE62" s="5"/>
      <c r="AF62" s="5"/>
      <c r="AG62" s="5"/>
      <c r="AH62" s="5"/>
      <c r="AI62" s="5"/>
      <c r="AJ62" s="5"/>
      <c r="AK62" s="5"/>
    </row>
    <row r="63" spans="1:37" ht="15" customHeight="1" hidden="1">
      <c r="A63" s="70">
        <v>322</v>
      </c>
      <c r="B63" s="70" t="s">
        <v>632</v>
      </c>
      <c r="C63" s="45">
        <v>1700</v>
      </c>
      <c r="D63" s="42">
        <v>1387.22</v>
      </c>
      <c r="E63" s="252"/>
      <c r="F63" s="29">
        <v>0.18398823529411762</v>
      </c>
      <c r="G63" s="36"/>
      <c r="H63" s="36">
        <v>1387.22</v>
      </c>
      <c r="I63" s="36"/>
      <c r="J63" s="47">
        <v>0</v>
      </c>
      <c r="K63" s="37">
        <v>0</v>
      </c>
      <c r="L63" s="43">
        <v>0</v>
      </c>
      <c r="M63" s="43">
        <v>0</v>
      </c>
      <c r="N63" s="49">
        <v>0</v>
      </c>
      <c r="O63" s="137">
        <v>1600</v>
      </c>
      <c r="P63" s="137">
        <v>1</v>
      </c>
      <c r="Q63" s="182" t="s">
        <v>492</v>
      </c>
      <c r="R63" s="5">
        <v>1700</v>
      </c>
      <c r="S63" s="149">
        <v>1700</v>
      </c>
      <c r="T63" s="149">
        <v>0</v>
      </c>
      <c r="U63" s="150">
        <v>0</v>
      </c>
      <c r="V63" s="5" t="e">
        <v>#REF!</v>
      </c>
      <c r="W63" s="5" t="e">
        <v>#REF!</v>
      </c>
      <c r="X63" s="5"/>
      <c r="Y63" s="5"/>
      <c r="Z63" s="5"/>
      <c r="AA63" s="5"/>
      <c r="AB63" s="5"/>
      <c r="AC63" s="5"/>
      <c r="AD63" s="5"/>
      <c r="AE63" s="5"/>
      <c r="AF63" s="5"/>
      <c r="AG63" s="5"/>
      <c r="AH63" s="5"/>
      <c r="AI63" s="5"/>
      <c r="AJ63" s="5"/>
      <c r="AK63" s="5"/>
    </row>
    <row r="64" spans="1:37" ht="15" customHeight="1">
      <c r="A64" s="70">
        <v>323</v>
      </c>
      <c r="B64" s="70" t="s">
        <v>633</v>
      </c>
      <c r="C64" s="45">
        <v>500</v>
      </c>
      <c r="D64" s="42">
        <v>500</v>
      </c>
      <c r="E64" s="252"/>
      <c r="F64" s="29">
        <v>0</v>
      </c>
      <c r="G64" s="36"/>
      <c r="H64" s="36">
        <v>500</v>
      </c>
      <c r="I64" s="253"/>
      <c r="J64" s="47">
        <v>0</v>
      </c>
      <c r="K64" s="37">
        <v>0</v>
      </c>
      <c r="L64" s="43">
        <v>0</v>
      </c>
      <c r="M64" s="43">
        <v>0</v>
      </c>
      <c r="N64" s="49">
        <v>0</v>
      </c>
      <c r="O64" s="137">
        <v>1600</v>
      </c>
      <c r="P64" s="137">
        <v>1</v>
      </c>
      <c r="Q64" s="182" t="s">
        <v>492</v>
      </c>
      <c r="R64" s="5">
        <v>500</v>
      </c>
      <c r="S64" s="149">
        <v>500</v>
      </c>
      <c r="T64" s="149">
        <v>0</v>
      </c>
      <c r="U64" s="150">
        <v>0</v>
      </c>
      <c r="V64" s="5" t="e">
        <v>#REF!</v>
      </c>
      <c r="W64" s="5" t="e">
        <v>#REF!</v>
      </c>
      <c r="X64" s="5"/>
      <c r="Y64" s="5"/>
      <c r="Z64" s="5"/>
      <c r="AA64" s="5"/>
      <c r="AB64" s="5"/>
      <c r="AC64" s="5"/>
      <c r="AD64" s="5"/>
      <c r="AE64" s="5"/>
      <c r="AF64" s="5"/>
      <c r="AG64" s="5"/>
      <c r="AH64" s="5"/>
      <c r="AI64" s="5"/>
      <c r="AJ64" s="5"/>
      <c r="AK64" s="5"/>
    </row>
    <row r="65" spans="1:37" ht="15" customHeight="1">
      <c r="A65" s="70">
        <v>324</v>
      </c>
      <c r="B65" s="70" t="s">
        <v>634</v>
      </c>
      <c r="C65" s="45">
        <v>250</v>
      </c>
      <c r="D65" s="42">
        <v>60</v>
      </c>
      <c r="E65" s="252"/>
      <c r="F65" s="29">
        <v>0.76</v>
      </c>
      <c r="G65" s="36"/>
      <c r="H65" s="36">
        <v>60</v>
      </c>
      <c r="I65" s="253"/>
      <c r="J65" s="47">
        <v>0</v>
      </c>
      <c r="K65" s="37">
        <v>0</v>
      </c>
      <c r="L65" s="43">
        <v>0</v>
      </c>
      <c r="M65" s="43">
        <v>0</v>
      </c>
      <c r="N65" s="49">
        <v>0</v>
      </c>
      <c r="O65" s="137">
        <v>1600</v>
      </c>
      <c r="P65" s="137">
        <v>1</v>
      </c>
      <c r="Q65" s="182" t="s">
        <v>492</v>
      </c>
      <c r="R65" s="5">
        <v>250</v>
      </c>
      <c r="S65" s="149">
        <v>250</v>
      </c>
      <c r="T65" s="149">
        <v>0</v>
      </c>
      <c r="U65" s="150">
        <v>0</v>
      </c>
      <c r="V65" s="5" t="e">
        <v>#REF!</v>
      </c>
      <c r="W65" s="5" t="e">
        <v>#REF!</v>
      </c>
      <c r="X65" s="5"/>
      <c r="Y65" s="5"/>
      <c r="Z65" s="5"/>
      <c r="AA65" s="5"/>
      <c r="AB65" s="5"/>
      <c r="AC65" s="5"/>
      <c r="AD65" s="5"/>
      <c r="AE65" s="5"/>
      <c r="AF65" s="5"/>
      <c r="AG65" s="5"/>
      <c r="AH65" s="5"/>
      <c r="AI65" s="5"/>
      <c r="AJ65" s="5"/>
      <c r="AK65" s="5"/>
    </row>
    <row r="66" spans="1:37" ht="15" customHeight="1">
      <c r="A66" s="70">
        <v>325</v>
      </c>
      <c r="B66" s="70" t="s">
        <v>124</v>
      </c>
      <c r="C66" s="45">
        <v>500</v>
      </c>
      <c r="D66" s="42">
        <v>434.85</v>
      </c>
      <c r="E66" s="252"/>
      <c r="F66" s="29">
        <v>0.13029999999999994</v>
      </c>
      <c r="G66" s="36"/>
      <c r="H66" s="36">
        <v>434.85</v>
      </c>
      <c r="I66" s="253"/>
      <c r="J66" s="47">
        <v>0</v>
      </c>
      <c r="K66" s="37">
        <v>0</v>
      </c>
      <c r="L66" s="43">
        <v>0</v>
      </c>
      <c r="M66" s="43">
        <v>0</v>
      </c>
      <c r="N66" s="49">
        <v>0</v>
      </c>
      <c r="O66" s="137">
        <v>1600</v>
      </c>
      <c r="P66" s="137">
        <v>1</v>
      </c>
      <c r="Q66" s="182" t="s">
        <v>492</v>
      </c>
      <c r="R66" s="5">
        <v>500</v>
      </c>
      <c r="S66" s="149">
        <v>500</v>
      </c>
      <c r="T66" s="149">
        <v>0</v>
      </c>
      <c r="U66" s="150">
        <v>0</v>
      </c>
      <c r="V66" s="5" t="e">
        <v>#REF!</v>
      </c>
      <c r="W66" s="5" t="e">
        <v>#REF!</v>
      </c>
      <c r="X66" s="5"/>
      <c r="Y66" s="5"/>
      <c r="Z66" s="5"/>
      <c r="AA66" s="5"/>
      <c r="AB66" s="5"/>
      <c r="AC66" s="5"/>
      <c r="AD66" s="5"/>
      <c r="AE66" s="5"/>
      <c r="AF66" s="5"/>
      <c r="AG66" s="5"/>
      <c r="AH66" s="5"/>
      <c r="AI66" s="5"/>
      <c r="AJ66" s="5"/>
      <c r="AK66" s="5"/>
    </row>
    <row r="67" spans="1:37" ht="15" customHeight="1">
      <c r="A67" s="70">
        <v>326</v>
      </c>
      <c r="B67" s="70" t="s">
        <v>635</v>
      </c>
      <c r="C67" s="45">
        <v>900</v>
      </c>
      <c r="D67" s="42">
        <v>900</v>
      </c>
      <c r="E67" s="252"/>
      <c r="F67" s="29">
        <v>0</v>
      </c>
      <c r="G67" s="36"/>
      <c r="H67" s="36">
        <v>900</v>
      </c>
      <c r="I67" s="253"/>
      <c r="J67" s="47">
        <v>0</v>
      </c>
      <c r="K67" s="37">
        <v>0</v>
      </c>
      <c r="L67" s="43">
        <v>0</v>
      </c>
      <c r="M67" s="43">
        <v>0</v>
      </c>
      <c r="N67" s="49">
        <v>0</v>
      </c>
      <c r="O67" s="137">
        <v>1600</v>
      </c>
      <c r="P67" s="137">
        <v>1</v>
      </c>
      <c r="Q67" s="182" t="s">
        <v>492</v>
      </c>
      <c r="R67" s="5">
        <v>900</v>
      </c>
      <c r="S67" s="149">
        <v>900</v>
      </c>
      <c r="T67" s="149">
        <v>0</v>
      </c>
      <c r="U67" s="150">
        <v>0</v>
      </c>
      <c r="V67" s="5" t="e">
        <v>#REF!</v>
      </c>
      <c r="W67" s="5" t="e">
        <v>#REF!</v>
      </c>
      <c r="X67" s="5"/>
      <c r="Y67" s="5"/>
      <c r="Z67" s="5"/>
      <c r="AA67" s="5"/>
      <c r="AB67" s="5"/>
      <c r="AC67" s="5"/>
      <c r="AD67" s="5"/>
      <c r="AE67" s="5"/>
      <c r="AF67" s="5"/>
      <c r="AG67" s="5"/>
      <c r="AH67" s="5"/>
      <c r="AI67" s="5"/>
      <c r="AJ67" s="5"/>
      <c r="AK67" s="5"/>
    </row>
    <row r="68" spans="1:37" ht="15" customHeight="1">
      <c r="A68" s="70">
        <v>330</v>
      </c>
      <c r="B68" s="70" t="s">
        <v>126</v>
      </c>
      <c r="C68" s="45">
        <v>500</v>
      </c>
      <c r="D68" s="42">
        <v>1066.5</v>
      </c>
      <c r="E68" s="252"/>
      <c r="F68" s="29">
        <v>-1.133</v>
      </c>
      <c r="G68" s="36"/>
      <c r="H68" s="36">
        <v>1066.5</v>
      </c>
      <c r="I68" s="253"/>
      <c r="J68" s="47">
        <v>0</v>
      </c>
      <c r="K68" s="37">
        <v>0</v>
      </c>
      <c r="L68" s="43">
        <v>0</v>
      </c>
      <c r="M68" s="43">
        <v>0</v>
      </c>
      <c r="N68" s="49">
        <v>0</v>
      </c>
      <c r="O68" s="137">
        <v>1680</v>
      </c>
      <c r="P68" s="137">
        <v>1</v>
      </c>
      <c r="Q68" s="182" t="s">
        <v>492</v>
      </c>
      <c r="R68" s="5">
        <v>500</v>
      </c>
      <c r="S68" s="149">
        <v>500</v>
      </c>
      <c r="T68" s="149">
        <v>0</v>
      </c>
      <c r="U68" s="150">
        <v>0</v>
      </c>
      <c r="V68" s="5" t="e">
        <v>#REF!</v>
      </c>
      <c r="W68" s="5" t="e">
        <v>#REF!</v>
      </c>
      <c r="X68" s="5"/>
      <c r="Y68" s="5"/>
      <c r="Z68" s="5"/>
      <c r="AA68" s="5"/>
      <c r="AB68" s="5"/>
      <c r="AC68" s="5"/>
      <c r="AD68" s="5"/>
      <c r="AE68" s="5"/>
      <c r="AF68" s="5"/>
      <c r="AG68" s="5"/>
      <c r="AH68" s="5"/>
      <c r="AI68" s="5"/>
      <c r="AJ68" s="5"/>
      <c r="AK68" s="5"/>
    </row>
    <row r="69" spans="1:37" ht="15" customHeight="1">
      <c r="A69" s="70">
        <v>331</v>
      </c>
      <c r="B69" s="70" t="s">
        <v>636</v>
      </c>
      <c r="C69" s="45">
        <v>850</v>
      </c>
      <c r="D69" s="42">
        <v>462.73</v>
      </c>
      <c r="E69" s="252"/>
      <c r="F69" s="29">
        <v>0.4556117647058823</v>
      </c>
      <c r="G69" s="36"/>
      <c r="H69" s="36">
        <v>462.73</v>
      </c>
      <c r="I69" s="253"/>
      <c r="J69" s="47">
        <v>0</v>
      </c>
      <c r="K69" s="37">
        <v>0</v>
      </c>
      <c r="L69" s="43">
        <v>0</v>
      </c>
      <c r="M69" s="43">
        <v>0</v>
      </c>
      <c r="N69" s="49">
        <v>0</v>
      </c>
      <c r="O69" s="137">
        <v>1600</v>
      </c>
      <c r="P69" s="137">
        <v>1</v>
      </c>
      <c r="Q69" s="182" t="s">
        <v>492</v>
      </c>
      <c r="R69" s="5">
        <v>850</v>
      </c>
      <c r="S69" s="149">
        <v>850</v>
      </c>
      <c r="T69" s="149">
        <v>0</v>
      </c>
      <c r="U69" s="150">
        <v>0</v>
      </c>
      <c r="V69" s="5" t="e">
        <v>#REF!</v>
      </c>
      <c r="W69" s="5" t="e">
        <v>#REF!</v>
      </c>
      <c r="X69" s="5"/>
      <c r="Y69" s="5"/>
      <c r="Z69" s="5"/>
      <c r="AA69" s="5"/>
      <c r="AB69" s="5"/>
      <c r="AC69" s="5"/>
      <c r="AD69" s="5"/>
      <c r="AE69" s="5"/>
      <c r="AF69" s="5"/>
      <c r="AG69" s="5"/>
      <c r="AH69" s="5"/>
      <c r="AI69" s="5"/>
      <c r="AJ69" s="5"/>
      <c r="AK69" s="5"/>
    </row>
    <row r="70" spans="1:37" ht="15" customHeight="1">
      <c r="A70" s="70">
        <v>332</v>
      </c>
      <c r="B70" s="70" t="s">
        <v>128</v>
      </c>
      <c r="C70" s="45">
        <v>14000</v>
      </c>
      <c r="D70" s="42">
        <v>8756.46</v>
      </c>
      <c r="E70" s="252"/>
      <c r="F70" s="29">
        <v>0.3745385714285715</v>
      </c>
      <c r="G70" s="36"/>
      <c r="H70" s="36">
        <v>8756.46</v>
      </c>
      <c r="I70" s="253"/>
      <c r="J70" s="47">
        <v>0</v>
      </c>
      <c r="K70" s="37">
        <v>0</v>
      </c>
      <c r="L70" s="43">
        <v>0</v>
      </c>
      <c r="M70" s="43">
        <v>0</v>
      </c>
      <c r="N70" s="49">
        <v>0</v>
      </c>
      <c r="O70" s="137">
        <v>2100</v>
      </c>
      <c r="P70" s="137">
        <v>1</v>
      </c>
      <c r="Q70" s="182" t="s">
        <v>492</v>
      </c>
      <c r="R70" s="5">
        <v>14000</v>
      </c>
      <c r="S70" s="149">
        <v>14000</v>
      </c>
      <c r="T70" s="149">
        <v>0</v>
      </c>
      <c r="U70" s="150">
        <v>0</v>
      </c>
      <c r="V70" s="5" t="e">
        <v>#REF!</v>
      </c>
      <c r="W70" s="5" t="e">
        <v>#REF!</v>
      </c>
      <c r="X70" s="5"/>
      <c r="Y70" s="5"/>
      <c r="Z70" s="5"/>
      <c r="AA70" s="5"/>
      <c r="AB70" s="5"/>
      <c r="AC70" s="5"/>
      <c r="AD70" s="5"/>
      <c r="AE70" s="5"/>
      <c r="AF70" s="5"/>
      <c r="AG70" s="5"/>
      <c r="AH70" s="5"/>
      <c r="AI70" s="5"/>
      <c r="AJ70" s="5"/>
      <c r="AK70" s="5"/>
    </row>
    <row r="71" spans="1:37" ht="15" customHeight="1">
      <c r="A71" s="70">
        <v>333</v>
      </c>
      <c r="B71" s="70" t="s">
        <v>131</v>
      </c>
      <c r="C71" s="45">
        <v>700</v>
      </c>
      <c r="D71" s="42">
        <v>148.94</v>
      </c>
      <c r="E71" s="252"/>
      <c r="F71" s="29">
        <v>0.7872285714285714</v>
      </c>
      <c r="G71" s="36"/>
      <c r="H71" s="36">
        <v>148.94</v>
      </c>
      <c r="I71" s="253"/>
      <c r="J71" s="47">
        <v>0</v>
      </c>
      <c r="K71" s="37">
        <v>0</v>
      </c>
      <c r="L71" s="43">
        <v>0</v>
      </c>
      <c r="M71" s="43">
        <v>0</v>
      </c>
      <c r="N71" s="49">
        <v>0</v>
      </c>
      <c r="O71" s="137">
        <v>1600</v>
      </c>
      <c r="P71" s="137">
        <v>1</v>
      </c>
      <c r="Q71" s="182" t="s">
        <v>492</v>
      </c>
      <c r="R71" s="5">
        <v>700</v>
      </c>
      <c r="S71" s="149">
        <v>700</v>
      </c>
      <c r="T71" s="149">
        <v>0</v>
      </c>
      <c r="U71" s="150">
        <v>0</v>
      </c>
      <c r="V71" s="5" t="e">
        <v>#REF!</v>
      </c>
      <c r="W71" s="5" t="e">
        <v>#REF!</v>
      </c>
      <c r="X71" s="5"/>
      <c r="Y71" s="5"/>
      <c r="Z71" s="5"/>
      <c r="AA71" s="5"/>
      <c r="AB71" s="5"/>
      <c r="AC71" s="5"/>
      <c r="AD71" s="5"/>
      <c r="AE71" s="5"/>
      <c r="AF71" s="5"/>
      <c r="AG71" s="5"/>
      <c r="AH71" s="5"/>
      <c r="AI71" s="5"/>
      <c r="AJ71" s="5"/>
      <c r="AK71" s="5"/>
    </row>
    <row r="72" spans="1:37" ht="15" customHeight="1">
      <c r="A72" s="70">
        <v>335</v>
      </c>
      <c r="B72" s="70" t="s">
        <v>637</v>
      </c>
      <c r="C72" s="45">
        <v>1200</v>
      </c>
      <c r="D72" s="42">
        <v>1091.67</v>
      </c>
      <c r="E72" s="252"/>
      <c r="F72" s="29">
        <v>0.09027499999999994</v>
      </c>
      <c r="G72" s="36"/>
      <c r="H72" s="36">
        <v>1091.67</v>
      </c>
      <c r="I72" s="253"/>
      <c r="J72" s="47">
        <v>0</v>
      </c>
      <c r="K72" s="37">
        <v>0</v>
      </c>
      <c r="L72" s="43">
        <v>0</v>
      </c>
      <c r="M72" s="43">
        <v>0</v>
      </c>
      <c r="N72" s="49">
        <v>0</v>
      </c>
      <c r="O72" s="137">
        <v>1600</v>
      </c>
      <c r="P72" s="137">
        <v>1</v>
      </c>
      <c r="Q72" s="182" t="s">
        <v>492</v>
      </c>
      <c r="R72" s="5">
        <v>1200</v>
      </c>
      <c r="S72" s="149">
        <v>1200</v>
      </c>
      <c r="T72" s="149">
        <v>0</v>
      </c>
      <c r="U72" s="150">
        <v>0</v>
      </c>
      <c r="V72" s="5" t="e">
        <v>#REF!</v>
      </c>
      <c r="W72" s="5" t="e">
        <v>#REF!</v>
      </c>
      <c r="X72" s="5"/>
      <c r="Y72" s="5"/>
      <c r="Z72" s="5"/>
      <c r="AA72" s="5"/>
      <c r="AB72" s="5"/>
      <c r="AC72" s="5"/>
      <c r="AD72" s="5"/>
      <c r="AE72" s="5"/>
      <c r="AF72" s="5"/>
      <c r="AG72" s="5"/>
      <c r="AH72" s="5"/>
      <c r="AI72" s="5"/>
      <c r="AJ72" s="5"/>
      <c r="AK72" s="5"/>
    </row>
    <row r="73" spans="1:37" ht="15" customHeight="1">
      <c r="A73" s="70">
        <v>336</v>
      </c>
      <c r="B73" s="70" t="s">
        <v>562</v>
      </c>
      <c r="C73" s="45">
        <v>650</v>
      </c>
      <c r="D73" s="42">
        <v>557.26</v>
      </c>
      <c r="E73" s="252"/>
      <c r="F73" s="29">
        <v>0.1426769230769231</v>
      </c>
      <c r="G73" s="36"/>
      <c r="H73" s="36">
        <v>557.26</v>
      </c>
      <c r="I73" s="253"/>
      <c r="J73" s="47">
        <v>0</v>
      </c>
      <c r="K73" s="37">
        <v>0</v>
      </c>
      <c r="L73" s="43">
        <v>0</v>
      </c>
      <c r="M73" s="43">
        <v>0</v>
      </c>
      <c r="N73" s="49">
        <v>0</v>
      </c>
      <c r="O73" s="137">
        <v>1600</v>
      </c>
      <c r="P73" s="137">
        <v>1</v>
      </c>
      <c r="Q73" s="182" t="s">
        <v>492</v>
      </c>
      <c r="R73" s="5">
        <v>650</v>
      </c>
      <c r="S73" s="149">
        <v>650</v>
      </c>
      <c r="T73" s="149">
        <v>0</v>
      </c>
      <c r="U73" s="150">
        <v>0</v>
      </c>
      <c r="V73" s="5" t="e">
        <v>#REF!</v>
      </c>
      <c r="W73" s="5" t="e">
        <v>#REF!</v>
      </c>
      <c r="X73" s="5"/>
      <c r="Y73" s="5"/>
      <c r="Z73" s="5"/>
      <c r="AA73" s="5"/>
      <c r="AB73" s="5"/>
      <c r="AC73" s="5"/>
      <c r="AD73" s="5"/>
      <c r="AE73" s="5"/>
      <c r="AF73" s="5"/>
      <c r="AG73" s="5"/>
      <c r="AH73" s="5"/>
      <c r="AI73" s="5"/>
      <c r="AJ73" s="5"/>
      <c r="AK73" s="5"/>
    </row>
    <row r="74" spans="1:37" ht="15" customHeight="1">
      <c r="A74" s="70">
        <v>337</v>
      </c>
      <c r="B74" s="70" t="s">
        <v>133</v>
      </c>
      <c r="C74" s="45">
        <v>1233</v>
      </c>
      <c r="D74" s="42">
        <v>360.91</v>
      </c>
      <c r="E74" s="252"/>
      <c r="F74" s="29">
        <v>0.7072911597729116</v>
      </c>
      <c r="G74" s="36"/>
      <c r="H74" s="36">
        <v>360.91</v>
      </c>
      <c r="I74" s="253"/>
      <c r="J74" s="47">
        <v>0</v>
      </c>
      <c r="K74" s="37">
        <v>0</v>
      </c>
      <c r="L74" s="43">
        <v>0</v>
      </c>
      <c r="M74" s="43">
        <v>0</v>
      </c>
      <c r="N74" s="49">
        <v>0</v>
      </c>
      <c r="O74" s="137">
        <v>1600</v>
      </c>
      <c r="P74" s="137">
        <v>1</v>
      </c>
      <c r="Q74" s="182" t="s">
        <v>492</v>
      </c>
      <c r="R74" s="5">
        <v>1233</v>
      </c>
      <c r="S74" s="149">
        <v>1233</v>
      </c>
      <c r="T74" s="149">
        <v>0</v>
      </c>
      <c r="U74" s="150">
        <v>0</v>
      </c>
      <c r="V74" s="5" t="e">
        <v>#REF!</v>
      </c>
      <c r="W74" s="5" t="e">
        <v>#REF!</v>
      </c>
      <c r="X74" s="5"/>
      <c r="Y74" s="5"/>
      <c r="Z74" s="5"/>
      <c r="AA74" s="5"/>
      <c r="AB74" s="5"/>
      <c r="AC74" s="5"/>
      <c r="AD74" s="5"/>
      <c r="AE74" s="5"/>
      <c r="AF74" s="5"/>
      <c r="AG74" s="5"/>
      <c r="AH74" s="5"/>
      <c r="AI74" s="5"/>
      <c r="AJ74" s="5"/>
      <c r="AK74" s="5"/>
    </row>
    <row r="75" spans="1:37" ht="15" customHeight="1">
      <c r="A75" s="70">
        <v>338</v>
      </c>
      <c r="B75" s="70" t="s">
        <v>134</v>
      </c>
      <c r="C75" s="45">
        <v>2000</v>
      </c>
      <c r="D75" s="42">
        <v>2012.5</v>
      </c>
      <c r="E75" s="252"/>
      <c r="F75" s="29">
        <v>-0.00625</v>
      </c>
      <c r="G75" s="36"/>
      <c r="H75" s="36">
        <v>2012.5</v>
      </c>
      <c r="I75" s="253"/>
      <c r="J75" s="47">
        <v>0</v>
      </c>
      <c r="K75" s="37">
        <v>0</v>
      </c>
      <c r="L75" s="43">
        <v>0</v>
      </c>
      <c r="M75" s="43">
        <v>0</v>
      </c>
      <c r="N75" s="49">
        <v>0</v>
      </c>
      <c r="O75" s="137">
        <v>1600</v>
      </c>
      <c r="P75" s="137">
        <v>1</v>
      </c>
      <c r="Q75" s="182" t="s">
        <v>492</v>
      </c>
      <c r="R75" s="5">
        <v>2000</v>
      </c>
      <c r="S75" s="149">
        <v>2000</v>
      </c>
      <c r="T75" s="149">
        <v>0</v>
      </c>
      <c r="U75" s="150">
        <v>0</v>
      </c>
      <c r="V75" s="5" t="e">
        <v>#REF!</v>
      </c>
      <c r="W75" s="5" t="e">
        <v>#REF!</v>
      </c>
      <c r="X75" s="5"/>
      <c r="Y75" s="5"/>
      <c r="Z75" s="5"/>
      <c r="AA75" s="5"/>
      <c r="AB75" s="5"/>
      <c r="AC75" s="5"/>
      <c r="AD75" s="5"/>
      <c r="AE75" s="5"/>
      <c r="AF75" s="5"/>
      <c r="AG75" s="5"/>
      <c r="AH75" s="5"/>
      <c r="AI75" s="5"/>
      <c r="AJ75" s="5"/>
      <c r="AK75" s="5"/>
    </row>
    <row r="76" spans="1:37" ht="15" customHeight="1" hidden="1">
      <c r="A76" s="70">
        <v>340</v>
      </c>
      <c r="B76" s="70" t="s">
        <v>638</v>
      </c>
      <c r="C76" s="45">
        <v>4194</v>
      </c>
      <c r="D76" s="42">
        <v>3372.59</v>
      </c>
      <c r="E76" s="252"/>
      <c r="F76" s="29">
        <v>0.19585360038149735</v>
      </c>
      <c r="G76" s="36"/>
      <c r="H76" s="36">
        <v>3372.59</v>
      </c>
      <c r="I76" s="36"/>
      <c r="J76" s="47">
        <v>0</v>
      </c>
      <c r="K76" s="37">
        <v>0</v>
      </c>
      <c r="L76" s="43">
        <v>0</v>
      </c>
      <c r="M76" s="43">
        <v>0</v>
      </c>
      <c r="N76" s="49">
        <v>0</v>
      </c>
      <c r="O76" s="137">
        <v>1630</v>
      </c>
      <c r="P76" s="137">
        <v>1</v>
      </c>
      <c r="Q76" s="182" t="s">
        <v>492</v>
      </c>
      <c r="R76" s="5">
        <v>4194</v>
      </c>
      <c r="S76" s="149">
        <v>4194</v>
      </c>
      <c r="T76" s="149">
        <v>0</v>
      </c>
      <c r="U76" s="150">
        <v>0</v>
      </c>
      <c r="V76" s="5" t="e">
        <v>#REF!</v>
      </c>
      <c r="W76" s="5" t="e">
        <v>#REF!</v>
      </c>
      <c r="X76" s="5"/>
      <c r="Y76" s="5"/>
      <c r="Z76" s="5"/>
      <c r="AA76" s="5"/>
      <c r="AB76" s="5"/>
      <c r="AC76" s="5"/>
      <c r="AD76" s="5"/>
      <c r="AE76" s="5"/>
      <c r="AF76" s="5"/>
      <c r="AG76" s="5"/>
      <c r="AH76" s="5"/>
      <c r="AI76" s="5"/>
      <c r="AJ76" s="5"/>
      <c r="AK76" s="5"/>
    </row>
    <row r="77" spans="1:37" ht="15" customHeight="1">
      <c r="A77" s="70">
        <v>341</v>
      </c>
      <c r="B77" s="70" t="s">
        <v>639</v>
      </c>
      <c r="C77" s="45">
        <v>3400</v>
      </c>
      <c r="D77" s="42">
        <v>2610.42</v>
      </c>
      <c r="E77" s="252"/>
      <c r="F77" s="29">
        <v>0.23222941176470585</v>
      </c>
      <c r="G77" s="36"/>
      <c r="H77" s="36">
        <v>2610.42</v>
      </c>
      <c r="I77" s="253"/>
      <c r="J77" s="47">
        <v>0</v>
      </c>
      <c r="K77" s="37">
        <v>0</v>
      </c>
      <c r="L77" s="43">
        <v>0</v>
      </c>
      <c r="M77" s="43">
        <v>0</v>
      </c>
      <c r="N77" s="49">
        <v>0</v>
      </c>
      <c r="O77" s="137">
        <v>1630</v>
      </c>
      <c r="P77" s="137">
        <v>1</v>
      </c>
      <c r="Q77" s="182" t="s">
        <v>492</v>
      </c>
      <c r="R77" s="5">
        <v>3400</v>
      </c>
      <c r="S77" s="149">
        <v>3400</v>
      </c>
      <c r="T77" s="149">
        <v>0</v>
      </c>
      <c r="U77" s="150">
        <v>0</v>
      </c>
      <c r="V77" s="5" t="e">
        <v>#REF!</v>
      </c>
      <c r="W77" s="5" t="e">
        <v>#REF!</v>
      </c>
      <c r="X77" s="5"/>
      <c r="Y77" s="5"/>
      <c r="Z77" s="5"/>
      <c r="AA77" s="5"/>
      <c r="AB77" s="5"/>
      <c r="AC77" s="5"/>
      <c r="AD77" s="5"/>
      <c r="AE77" s="5"/>
      <c r="AF77" s="5"/>
      <c r="AG77" s="5"/>
      <c r="AH77" s="5"/>
      <c r="AI77" s="5"/>
      <c r="AJ77" s="5"/>
      <c r="AK77" s="5"/>
    </row>
    <row r="78" spans="1:37" ht="15" customHeight="1">
      <c r="A78" s="70">
        <v>342</v>
      </c>
      <c r="B78" s="70" t="s">
        <v>137</v>
      </c>
      <c r="C78" s="45">
        <v>0</v>
      </c>
      <c r="D78" s="42">
        <v>0</v>
      </c>
      <c r="E78" s="252"/>
      <c r="F78" s="29" t="s">
        <v>596</v>
      </c>
      <c r="G78" s="36"/>
      <c r="H78" s="36"/>
      <c r="I78" s="253"/>
      <c r="J78" s="47">
        <v>0</v>
      </c>
      <c r="K78" s="37">
        <v>0</v>
      </c>
      <c r="L78" s="43">
        <v>0</v>
      </c>
      <c r="M78" s="43">
        <v>0</v>
      </c>
      <c r="N78" s="49">
        <v>0</v>
      </c>
      <c r="O78" s="137">
        <v>1630</v>
      </c>
      <c r="P78" s="137">
        <v>1</v>
      </c>
      <c r="Q78" s="182" t="s">
        <v>492</v>
      </c>
      <c r="R78" s="5">
        <v>0</v>
      </c>
      <c r="S78" s="149">
        <v>0</v>
      </c>
      <c r="T78" s="149">
        <v>0</v>
      </c>
      <c r="U78" s="150">
        <v>0</v>
      </c>
      <c r="V78" s="5" t="e">
        <v>#REF!</v>
      </c>
      <c r="W78" s="5" t="e">
        <v>#REF!</v>
      </c>
      <c r="X78" s="5"/>
      <c r="Y78" s="5"/>
      <c r="Z78" s="5"/>
      <c r="AA78" s="5"/>
      <c r="AB78" s="5"/>
      <c r="AC78" s="5"/>
      <c r="AD78" s="5"/>
      <c r="AE78" s="5"/>
      <c r="AF78" s="5"/>
      <c r="AG78" s="5"/>
      <c r="AH78" s="5"/>
      <c r="AI78" s="5"/>
      <c r="AJ78" s="5"/>
      <c r="AK78" s="5"/>
    </row>
    <row r="79" spans="1:37" ht="15" customHeight="1">
      <c r="A79" s="70">
        <v>344</v>
      </c>
      <c r="B79" s="70" t="s">
        <v>640</v>
      </c>
      <c r="C79" s="45">
        <v>250</v>
      </c>
      <c r="D79" s="42">
        <v>250</v>
      </c>
      <c r="E79" s="252"/>
      <c r="F79" s="29">
        <v>0</v>
      </c>
      <c r="G79" s="36"/>
      <c r="H79" s="36">
        <v>250</v>
      </c>
      <c r="I79" s="253"/>
      <c r="J79" s="47">
        <v>0</v>
      </c>
      <c r="K79" s="37">
        <v>0</v>
      </c>
      <c r="L79" s="43">
        <v>0</v>
      </c>
      <c r="M79" s="43">
        <v>0</v>
      </c>
      <c r="N79" s="49">
        <v>0</v>
      </c>
      <c r="O79" s="137">
        <v>1630</v>
      </c>
      <c r="P79" s="137">
        <v>1</v>
      </c>
      <c r="Q79" s="182" t="s">
        <v>492</v>
      </c>
      <c r="R79" s="5">
        <v>250</v>
      </c>
      <c r="S79" s="149">
        <v>250</v>
      </c>
      <c r="T79" s="149">
        <v>0</v>
      </c>
      <c r="U79" s="150">
        <v>0</v>
      </c>
      <c r="V79" s="5" t="e">
        <v>#REF!</v>
      </c>
      <c r="W79" s="5" t="e">
        <v>#REF!</v>
      </c>
      <c r="X79" s="5"/>
      <c r="Y79" s="5"/>
      <c r="Z79" s="5"/>
      <c r="AA79" s="5"/>
      <c r="AB79" s="5"/>
      <c r="AC79" s="5"/>
      <c r="AD79" s="5"/>
      <c r="AE79" s="5"/>
      <c r="AF79" s="5"/>
      <c r="AG79" s="5"/>
      <c r="AH79" s="5"/>
      <c r="AI79" s="5"/>
      <c r="AJ79" s="5"/>
      <c r="AK79" s="5"/>
    </row>
    <row r="80" spans="1:37" ht="15" customHeight="1">
      <c r="A80" s="70">
        <v>346</v>
      </c>
      <c r="B80" s="70" t="s">
        <v>140</v>
      </c>
      <c r="C80" s="45">
        <v>800</v>
      </c>
      <c r="D80" s="42">
        <v>595.48</v>
      </c>
      <c r="E80" s="252"/>
      <c r="F80" s="29">
        <v>0.25565</v>
      </c>
      <c r="G80" s="36"/>
      <c r="H80" s="36">
        <v>595.48</v>
      </c>
      <c r="I80" s="253"/>
      <c r="J80" s="47">
        <v>0</v>
      </c>
      <c r="K80" s="37">
        <v>0</v>
      </c>
      <c r="L80" s="43">
        <v>0</v>
      </c>
      <c r="M80" s="43">
        <v>0</v>
      </c>
      <c r="N80" s="49">
        <v>0</v>
      </c>
      <c r="O80" s="137">
        <v>1630</v>
      </c>
      <c r="P80" s="137">
        <v>1</v>
      </c>
      <c r="Q80" s="182" t="s">
        <v>492</v>
      </c>
      <c r="R80" s="5">
        <v>800</v>
      </c>
      <c r="S80" s="149">
        <v>800</v>
      </c>
      <c r="T80" s="149">
        <v>0</v>
      </c>
      <c r="U80" s="150">
        <v>0</v>
      </c>
      <c r="V80" s="5" t="e">
        <v>#REF!</v>
      </c>
      <c r="W80" s="5" t="e">
        <v>#REF!</v>
      </c>
      <c r="X80" s="5"/>
      <c r="Y80" s="5"/>
      <c r="Z80" s="5"/>
      <c r="AA80" s="5"/>
      <c r="AB80" s="5"/>
      <c r="AC80" s="5"/>
      <c r="AD80" s="5"/>
      <c r="AE80" s="5"/>
      <c r="AF80" s="5"/>
      <c r="AG80" s="5"/>
      <c r="AH80" s="5"/>
      <c r="AI80" s="5"/>
      <c r="AJ80" s="5"/>
      <c r="AK80" s="5"/>
    </row>
    <row r="81" spans="1:37" ht="15" customHeight="1">
      <c r="A81" s="70">
        <v>348</v>
      </c>
      <c r="B81" s="70" t="s">
        <v>141</v>
      </c>
      <c r="C81" s="45">
        <v>10750</v>
      </c>
      <c r="D81" s="42">
        <v>-345</v>
      </c>
      <c r="E81" s="252"/>
      <c r="F81" s="29">
        <v>1.0320930232558139</v>
      </c>
      <c r="G81" s="36"/>
      <c r="H81" s="36"/>
      <c r="I81" s="253"/>
      <c r="J81" s="47">
        <v>0</v>
      </c>
      <c r="K81" s="37">
        <v>345</v>
      </c>
      <c r="L81" s="43">
        <v>0</v>
      </c>
      <c r="M81" s="43">
        <v>345</v>
      </c>
      <c r="N81" s="49">
        <v>0</v>
      </c>
      <c r="O81" s="137">
        <v>1670</v>
      </c>
      <c r="P81" s="137">
        <v>1</v>
      </c>
      <c r="Q81" s="182" t="s">
        <v>492</v>
      </c>
      <c r="R81" s="5">
        <v>10750</v>
      </c>
      <c r="S81" s="149">
        <v>11095</v>
      </c>
      <c r="T81" s="149">
        <v>-345</v>
      </c>
      <c r="U81" s="150">
        <v>0</v>
      </c>
      <c r="V81" s="5" t="e">
        <v>#REF!</v>
      </c>
      <c r="W81" s="5" t="e">
        <v>#REF!</v>
      </c>
      <c r="X81" s="5"/>
      <c r="Y81" s="5"/>
      <c r="Z81" s="5"/>
      <c r="AA81" s="5"/>
      <c r="AB81" s="5"/>
      <c r="AC81" s="5"/>
      <c r="AD81" s="5"/>
      <c r="AE81" s="5"/>
      <c r="AF81" s="5"/>
      <c r="AG81" s="5"/>
      <c r="AH81" s="5"/>
      <c r="AI81" s="5"/>
      <c r="AJ81" s="5"/>
      <c r="AK81" s="5"/>
    </row>
    <row r="82" spans="1:37" ht="15" customHeight="1" hidden="1">
      <c r="A82" s="70">
        <v>349</v>
      </c>
      <c r="B82" s="70" t="s">
        <v>142</v>
      </c>
      <c r="C82" s="45">
        <v>70</v>
      </c>
      <c r="D82" s="42">
        <v>70</v>
      </c>
      <c r="E82" s="252"/>
      <c r="F82" s="29">
        <v>0</v>
      </c>
      <c r="G82" s="36"/>
      <c r="H82" s="36">
        <v>70</v>
      </c>
      <c r="I82" s="36"/>
      <c r="J82" s="47">
        <v>0</v>
      </c>
      <c r="K82" s="37">
        <v>0</v>
      </c>
      <c r="L82" s="43">
        <v>0</v>
      </c>
      <c r="M82" s="43">
        <v>0</v>
      </c>
      <c r="N82" s="49">
        <v>0</v>
      </c>
      <c r="O82" s="137">
        <v>1630</v>
      </c>
      <c r="P82" s="137">
        <v>1</v>
      </c>
      <c r="Q82" s="182" t="s">
        <v>492</v>
      </c>
      <c r="R82" s="5">
        <v>70</v>
      </c>
      <c r="S82" s="149">
        <v>70</v>
      </c>
      <c r="T82" s="149">
        <v>0</v>
      </c>
      <c r="U82" s="150">
        <v>0</v>
      </c>
      <c r="V82" s="5" t="e">
        <v>#REF!</v>
      </c>
      <c r="W82" s="5" t="e">
        <v>#REF!</v>
      </c>
      <c r="X82" s="5"/>
      <c r="Y82" s="5"/>
      <c r="Z82" s="5"/>
      <c r="AA82" s="5"/>
      <c r="AB82" s="5"/>
      <c r="AC82" s="5"/>
      <c r="AD82" s="5"/>
      <c r="AE82" s="5"/>
      <c r="AF82" s="5"/>
      <c r="AG82" s="5"/>
      <c r="AH82" s="5"/>
      <c r="AI82" s="5"/>
      <c r="AJ82" s="5"/>
      <c r="AK82" s="5"/>
    </row>
    <row r="83" spans="1:37" ht="15" customHeight="1" hidden="1">
      <c r="A83" s="254">
        <v>350</v>
      </c>
      <c r="B83" s="254" t="s">
        <v>698</v>
      </c>
      <c r="C83" s="45">
        <v>100</v>
      </c>
      <c r="D83" s="42">
        <v>99.93</v>
      </c>
      <c r="E83" s="252"/>
      <c r="F83" s="29">
        <v>0.0006999999999999318</v>
      </c>
      <c r="G83" s="36"/>
      <c r="H83" s="36">
        <v>99.93</v>
      </c>
      <c r="I83" s="38"/>
      <c r="J83" s="47">
        <v>0</v>
      </c>
      <c r="K83" s="37">
        <v>0</v>
      </c>
      <c r="L83" s="43">
        <v>0</v>
      </c>
      <c r="M83" s="43">
        <v>0</v>
      </c>
      <c r="N83" s="49">
        <v>0</v>
      </c>
      <c r="O83" s="137">
        <v>1650</v>
      </c>
      <c r="P83" s="137">
        <v>1</v>
      </c>
      <c r="Q83" s="182" t="s">
        <v>492</v>
      </c>
      <c r="R83" s="5">
        <v>100</v>
      </c>
      <c r="S83" s="149">
        <v>100</v>
      </c>
      <c r="T83" s="149">
        <v>0</v>
      </c>
      <c r="U83" s="150">
        <v>0</v>
      </c>
      <c r="V83" s="5" t="e">
        <v>#REF!</v>
      </c>
      <c r="W83" s="5" t="e">
        <v>#REF!</v>
      </c>
      <c r="X83" s="5"/>
      <c r="Y83" s="5"/>
      <c r="Z83" s="5"/>
      <c r="AA83" s="5"/>
      <c r="AB83" s="5"/>
      <c r="AC83" s="5"/>
      <c r="AD83" s="5"/>
      <c r="AE83" s="5"/>
      <c r="AF83" s="5"/>
      <c r="AG83" s="5"/>
      <c r="AH83" s="5"/>
      <c r="AI83" s="5"/>
      <c r="AJ83" s="5"/>
      <c r="AK83" s="5"/>
    </row>
    <row r="84" spans="1:37" ht="15" customHeight="1" hidden="1">
      <c r="A84" s="254">
        <v>351</v>
      </c>
      <c r="B84" s="254" t="s">
        <v>144</v>
      </c>
      <c r="C84" s="45">
        <v>18482</v>
      </c>
      <c r="D84" s="42">
        <v>12282</v>
      </c>
      <c r="E84" s="252"/>
      <c r="F84" s="29">
        <v>0.335461530137431</v>
      </c>
      <c r="G84" s="36"/>
      <c r="H84" s="36">
        <v>12282</v>
      </c>
      <c r="I84" s="36"/>
      <c r="J84" s="47">
        <v>0</v>
      </c>
      <c r="K84" s="37">
        <v>0</v>
      </c>
      <c r="L84" s="43">
        <v>0</v>
      </c>
      <c r="M84" s="43">
        <v>0</v>
      </c>
      <c r="N84" s="49">
        <v>0</v>
      </c>
      <c r="O84" s="137">
        <v>1650</v>
      </c>
      <c r="P84" s="137">
        <v>1</v>
      </c>
      <c r="Q84" s="182" t="s">
        <v>492</v>
      </c>
      <c r="R84" s="5">
        <v>18482</v>
      </c>
      <c r="S84" s="149">
        <v>18482</v>
      </c>
      <c r="T84" s="149">
        <v>0</v>
      </c>
      <c r="U84" s="150">
        <v>0</v>
      </c>
      <c r="V84" s="5" t="e">
        <v>#REF!</v>
      </c>
      <c r="W84" s="5" t="e">
        <v>#REF!</v>
      </c>
      <c r="X84" s="5"/>
      <c r="Y84" s="5"/>
      <c r="Z84" s="5"/>
      <c r="AA84" s="5"/>
      <c r="AB84" s="5"/>
      <c r="AC84" s="5"/>
      <c r="AD84" s="5"/>
      <c r="AE84" s="5"/>
      <c r="AF84" s="5"/>
      <c r="AG84" s="5"/>
      <c r="AH84" s="5"/>
      <c r="AI84" s="5"/>
      <c r="AJ84" s="5"/>
      <c r="AK84" s="5"/>
    </row>
    <row r="85" spans="1:37" ht="15" customHeight="1">
      <c r="A85" s="70">
        <v>354</v>
      </c>
      <c r="B85" s="70" t="s">
        <v>146</v>
      </c>
      <c r="C85" s="45">
        <v>19465</v>
      </c>
      <c r="D85" s="42">
        <v>14758.18</v>
      </c>
      <c r="E85" s="252"/>
      <c r="F85" s="29">
        <v>0.24180940148985358</v>
      </c>
      <c r="G85" s="36"/>
      <c r="H85" s="36">
        <v>14758.18</v>
      </c>
      <c r="I85" s="257"/>
      <c r="J85" s="47">
        <v>0</v>
      </c>
      <c r="K85" s="37">
        <v>0</v>
      </c>
      <c r="L85" s="43">
        <v>0</v>
      </c>
      <c r="M85" s="43">
        <v>0</v>
      </c>
      <c r="N85" s="49">
        <v>0</v>
      </c>
      <c r="O85" s="137">
        <v>1640</v>
      </c>
      <c r="P85" s="137">
        <v>1</v>
      </c>
      <c r="Q85" s="182" t="s">
        <v>492</v>
      </c>
      <c r="R85" s="5">
        <v>19465</v>
      </c>
      <c r="S85" s="149">
        <v>19465</v>
      </c>
      <c r="T85" s="149">
        <v>0</v>
      </c>
      <c r="U85" s="150">
        <v>0</v>
      </c>
      <c r="V85" s="5" t="e">
        <v>#REF!</v>
      </c>
      <c r="W85" s="5" t="e">
        <v>#REF!</v>
      </c>
      <c r="X85" s="5"/>
      <c r="Y85" s="5"/>
      <c r="Z85" s="5"/>
      <c r="AA85" s="5"/>
      <c r="AB85" s="5"/>
      <c r="AC85" s="5"/>
      <c r="AD85" s="5"/>
      <c r="AE85" s="5"/>
      <c r="AF85" s="5"/>
      <c r="AG85" s="5"/>
      <c r="AH85" s="5"/>
      <c r="AI85" s="5"/>
      <c r="AJ85" s="5"/>
      <c r="AK85" s="5"/>
    </row>
    <row r="86" spans="1:37" ht="15" customHeight="1">
      <c r="A86" s="70" t="s">
        <v>531</v>
      </c>
      <c r="B86" s="70" t="s">
        <v>532</v>
      </c>
      <c r="C86" s="45">
        <v>0</v>
      </c>
      <c r="D86" s="42">
        <v>0</v>
      </c>
      <c r="E86" s="252"/>
      <c r="F86" s="29" t="s">
        <v>596</v>
      </c>
      <c r="G86" s="36"/>
      <c r="H86" s="36"/>
      <c r="I86" s="257"/>
      <c r="J86" s="47">
        <v>0</v>
      </c>
      <c r="K86" s="37">
        <v>0</v>
      </c>
      <c r="L86" s="43">
        <v>0</v>
      </c>
      <c r="M86" s="43">
        <v>0</v>
      </c>
      <c r="N86" s="49">
        <v>0</v>
      </c>
      <c r="O86" s="137">
        <v>1640</v>
      </c>
      <c r="P86" s="137">
        <v>1</v>
      </c>
      <c r="Q86" s="182" t="s">
        <v>492</v>
      </c>
      <c r="R86" s="5">
        <v>0</v>
      </c>
      <c r="S86" s="149">
        <v>0</v>
      </c>
      <c r="T86" s="149">
        <v>0</v>
      </c>
      <c r="U86" s="150">
        <v>0</v>
      </c>
      <c r="V86" s="5" t="e">
        <v>#REF!</v>
      </c>
      <c r="W86" s="5" t="e">
        <v>#REF!</v>
      </c>
      <c r="X86" s="5"/>
      <c r="Y86" s="5"/>
      <c r="Z86" s="5"/>
      <c r="AA86" s="5"/>
      <c r="AB86" s="5"/>
      <c r="AC86" s="5"/>
      <c r="AD86" s="5"/>
      <c r="AE86" s="5"/>
      <c r="AF86" s="5"/>
      <c r="AG86" s="5"/>
      <c r="AH86" s="5"/>
      <c r="AI86" s="5"/>
      <c r="AJ86" s="5"/>
      <c r="AK86" s="5"/>
    </row>
    <row r="87" spans="1:37" ht="15" customHeight="1">
      <c r="A87" s="70">
        <v>355</v>
      </c>
      <c r="B87" s="70" t="s">
        <v>563</v>
      </c>
      <c r="C87" s="45">
        <v>162000</v>
      </c>
      <c r="D87" s="42">
        <v>0</v>
      </c>
      <c r="E87" s="252"/>
      <c r="F87" s="29">
        <v>1</v>
      </c>
      <c r="G87" s="36"/>
      <c r="H87" s="36"/>
      <c r="I87" s="253"/>
      <c r="J87" s="47">
        <v>0</v>
      </c>
      <c r="K87" s="37">
        <v>0</v>
      </c>
      <c r="L87" s="43">
        <v>0</v>
      </c>
      <c r="M87" s="43">
        <v>0</v>
      </c>
      <c r="N87" s="49">
        <v>0</v>
      </c>
      <c r="O87" s="137">
        <v>1640</v>
      </c>
      <c r="P87" s="137">
        <v>1</v>
      </c>
      <c r="Q87" s="182" t="s">
        <v>492</v>
      </c>
      <c r="R87" s="5">
        <v>162000</v>
      </c>
      <c r="S87" s="149">
        <v>162000</v>
      </c>
      <c r="T87" s="149">
        <v>0</v>
      </c>
      <c r="U87" s="150">
        <v>0</v>
      </c>
      <c r="V87" s="5" t="e">
        <v>#REF!</v>
      </c>
      <c r="W87" s="5" t="e">
        <v>#REF!</v>
      </c>
      <c r="X87" s="5"/>
      <c r="Y87" s="5"/>
      <c r="Z87" s="5"/>
      <c r="AA87" s="5"/>
      <c r="AB87" s="5"/>
      <c r="AC87" s="5"/>
      <c r="AD87" s="5"/>
      <c r="AE87" s="5"/>
      <c r="AF87" s="5"/>
      <c r="AG87" s="5"/>
      <c r="AH87" s="5"/>
      <c r="AI87" s="5"/>
      <c r="AJ87" s="5"/>
      <c r="AK87" s="5"/>
    </row>
    <row r="88" spans="1:37" ht="15" customHeight="1">
      <c r="A88" s="70">
        <v>357</v>
      </c>
      <c r="B88" s="70" t="s">
        <v>539</v>
      </c>
      <c r="C88" s="45">
        <v>2600</v>
      </c>
      <c r="D88" s="42">
        <v>2547.18</v>
      </c>
      <c r="E88" s="252"/>
      <c r="F88" s="29">
        <v>0.02031538461538468</v>
      </c>
      <c r="G88" s="36"/>
      <c r="H88" s="36">
        <v>2547.18</v>
      </c>
      <c r="I88" s="253"/>
      <c r="J88" s="47">
        <v>0</v>
      </c>
      <c r="K88" s="37">
        <v>0</v>
      </c>
      <c r="L88" s="43">
        <v>0</v>
      </c>
      <c r="M88" s="43">
        <v>0</v>
      </c>
      <c r="N88" s="49">
        <v>0</v>
      </c>
      <c r="O88" s="137">
        <v>1640</v>
      </c>
      <c r="P88" s="137">
        <v>1</v>
      </c>
      <c r="Q88" s="182" t="s">
        <v>492</v>
      </c>
      <c r="R88" s="5">
        <v>2600</v>
      </c>
      <c r="S88" s="149">
        <v>2600</v>
      </c>
      <c r="T88" s="149">
        <v>0</v>
      </c>
      <c r="U88" s="150">
        <v>0</v>
      </c>
      <c r="V88" s="5" t="e">
        <v>#REF!</v>
      </c>
      <c r="W88" s="5" t="e">
        <v>#REF!</v>
      </c>
      <c r="X88" s="5"/>
      <c r="Y88" s="5"/>
      <c r="Z88" s="5"/>
      <c r="AA88" s="5"/>
      <c r="AB88" s="5"/>
      <c r="AC88" s="5"/>
      <c r="AD88" s="5"/>
      <c r="AE88" s="5"/>
      <c r="AF88" s="5"/>
      <c r="AG88" s="5"/>
      <c r="AH88" s="5"/>
      <c r="AI88" s="5"/>
      <c r="AJ88" s="5"/>
      <c r="AK88" s="5"/>
    </row>
    <row r="89" spans="1:37" ht="15" customHeight="1">
      <c r="A89" s="70">
        <v>358</v>
      </c>
      <c r="B89" s="70" t="s">
        <v>641</v>
      </c>
      <c r="C89" s="45">
        <v>13400</v>
      </c>
      <c r="D89" s="42">
        <v>649.11</v>
      </c>
      <c r="E89" s="252"/>
      <c r="F89" s="29">
        <v>0.9515589552238806</v>
      </c>
      <c r="G89" s="36"/>
      <c r="H89" s="36">
        <v>649.11</v>
      </c>
      <c r="I89" s="253"/>
      <c r="J89" s="47">
        <v>0</v>
      </c>
      <c r="K89" s="37">
        <v>0</v>
      </c>
      <c r="L89" s="43">
        <v>0</v>
      </c>
      <c r="M89" s="43">
        <v>0</v>
      </c>
      <c r="N89" s="49">
        <v>0</v>
      </c>
      <c r="O89" s="137">
        <v>1650</v>
      </c>
      <c r="P89" s="137">
        <v>1</v>
      </c>
      <c r="Q89" s="182" t="s">
        <v>492</v>
      </c>
      <c r="R89" s="5">
        <v>13400</v>
      </c>
      <c r="S89" s="149">
        <v>13400</v>
      </c>
      <c r="T89" s="149">
        <v>0</v>
      </c>
      <c r="U89" s="150">
        <v>0</v>
      </c>
      <c r="V89" s="5" t="e">
        <v>#REF!</v>
      </c>
      <c r="W89" s="5" t="e">
        <v>#REF!</v>
      </c>
      <c r="X89" s="5"/>
      <c r="Y89" s="5"/>
      <c r="Z89" s="5"/>
      <c r="AA89" s="5"/>
      <c r="AB89" s="5"/>
      <c r="AC89" s="5"/>
      <c r="AD89" s="5"/>
      <c r="AE89" s="5"/>
      <c r="AF89" s="5"/>
      <c r="AG89" s="5"/>
      <c r="AH89" s="5"/>
      <c r="AI89" s="5"/>
      <c r="AJ89" s="5"/>
      <c r="AK89" s="5"/>
    </row>
    <row r="90" spans="1:37" ht="15" customHeight="1">
      <c r="A90" s="254">
        <v>360</v>
      </c>
      <c r="B90" s="254" t="s">
        <v>542</v>
      </c>
      <c r="C90" s="45">
        <v>0</v>
      </c>
      <c r="D90" s="42">
        <v>0</v>
      </c>
      <c r="E90" s="252"/>
      <c r="F90" s="29" t="s">
        <v>596</v>
      </c>
      <c r="G90" s="36"/>
      <c r="H90" s="36"/>
      <c r="I90" s="253"/>
      <c r="J90" s="47">
        <v>0</v>
      </c>
      <c r="K90" s="37">
        <v>0</v>
      </c>
      <c r="L90" s="43">
        <v>0</v>
      </c>
      <c r="M90" s="43">
        <v>0</v>
      </c>
      <c r="N90" s="49">
        <v>0</v>
      </c>
      <c r="O90" s="137">
        <v>5300</v>
      </c>
      <c r="P90" s="137">
        <v>1</v>
      </c>
      <c r="Q90" s="182" t="s">
        <v>492</v>
      </c>
      <c r="R90" s="5">
        <v>0</v>
      </c>
      <c r="S90" s="149">
        <v>0</v>
      </c>
      <c r="T90" s="149">
        <v>0</v>
      </c>
      <c r="U90" s="150">
        <v>0</v>
      </c>
      <c r="V90" s="5" t="e">
        <v>#REF!</v>
      </c>
      <c r="W90" s="5" t="e">
        <v>#REF!</v>
      </c>
      <c r="X90" s="5"/>
      <c r="Y90" s="5"/>
      <c r="Z90" s="5"/>
      <c r="AA90" s="5"/>
      <c r="AB90" s="5"/>
      <c r="AC90" s="5"/>
      <c r="AD90" s="5"/>
      <c r="AE90" s="5"/>
      <c r="AF90" s="5"/>
      <c r="AG90" s="5"/>
      <c r="AH90" s="5"/>
      <c r="AI90" s="5"/>
      <c r="AJ90" s="5"/>
      <c r="AK90" s="5"/>
    </row>
    <row r="91" spans="1:37" ht="15" customHeight="1" hidden="1">
      <c r="A91" s="70">
        <v>364</v>
      </c>
      <c r="B91" s="70" t="s">
        <v>564</v>
      </c>
      <c r="C91" s="45">
        <v>0</v>
      </c>
      <c r="D91" s="42">
        <v>50.8</v>
      </c>
      <c r="E91" s="252"/>
      <c r="F91" s="29" t="s">
        <v>596</v>
      </c>
      <c r="G91" s="36"/>
      <c r="H91" s="36"/>
      <c r="I91" s="36"/>
      <c r="J91" s="47">
        <v>50.8</v>
      </c>
      <c r="K91" s="37">
        <v>0</v>
      </c>
      <c r="L91" s="43">
        <v>51.33</v>
      </c>
      <c r="M91" s="43">
        <v>0</v>
      </c>
      <c r="N91" s="49">
        <v>-0.5300000000000011</v>
      </c>
      <c r="O91" s="137">
        <v>1600</v>
      </c>
      <c r="P91" s="137">
        <v>1</v>
      </c>
      <c r="Q91" s="182" t="s">
        <v>492</v>
      </c>
      <c r="R91" s="5">
        <v>0</v>
      </c>
      <c r="S91" s="149">
        <v>-51.33</v>
      </c>
      <c r="T91" s="149">
        <v>51.33</v>
      </c>
      <c r="U91" s="150">
        <v>0</v>
      </c>
      <c r="V91" s="5" t="e">
        <v>#REF!</v>
      </c>
      <c r="W91" s="5" t="e">
        <v>#REF!</v>
      </c>
      <c r="X91" s="5"/>
      <c r="Y91" s="5"/>
      <c r="Z91" s="5"/>
      <c r="AA91" s="5"/>
      <c r="AB91" s="5"/>
      <c r="AC91" s="5"/>
      <c r="AD91" s="5"/>
      <c r="AE91" s="5"/>
      <c r="AF91" s="5"/>
      <c r="AG91" s="5"/>
      <c r="AH91" s="5"/>
      <c r="AI91" s="5"/>
      <c r="AJ91" s="5"/>
      <c r="AK91" s="5"/>
    </row>
    <row r="92" spans="1:37" ht="15" customHeight="1">
      <c r="A92" s="70">
        <v>365</v>
      </c>
      <c r="B92" s="70" t="s">
        <v>565</v>
      </c>
      <c r="C92" s="45">
        <v>1427</v>
      </c>
      <c r="D92" s="42">
        <v>842.72</v>
      </c>
      <c r="E92" s="252"/>
      <c r="F92" s="29">
        <v>0.40944639103013314</v>
      </c>
      <c r="G92" s="36"/>
      <c r="H92" s="36">
        <v>842.72</v>
      </c>
      <c r="I92" s="253"/>
      <c r="J92" s="47">
        <v>0</v>
      </c>
      <c r="K92" s="37">
        <v>0</v>
      </c>
      <c r="L92" s="43">
        <v>0</v>
      </c>
      <c r="M92" s="43">
        <v>0</v>
      </c>
      <c r="N92" s="49">
        <v>0</v>
      </c>
      <c r="O92" s="137">
        <v>1600</v>
      </c>
      <c r="P92" s="137">
        <v>1</v>
      </c>
      <c r="Q92" s="182" t="s">
        <v>492</v>
      </c>
      <c r="R92" s="5">
        <v>1427</v>
      </c>
      <c r="S92" s="149">
        <v>1427</v>
      </c>
      <c r="T92" s="149">
        <v>0</v>
      </c>
      <c r="U92" s="150">
        <v>0</v>
      </c>
      <c r="V92" s="5" t="e">
        <v>#REF!</v>
      </c>
      <c r="W92" s="5" t="e">
        <v>#REF!</v>
      </c>
      <c r="X92" s="5"/>
      <c r="Y92" s="5"/>
      <c r="Z92" s="5"/>
      <c r="AA92" s="5"/>
      <c r="AB92" s="5"/>
      <c r="AC92" s="5"/>
      <c r="AD92" s="5"/>
      <c r="AE92" s="5"/>
      <c r="AF92" s="5"/>
      <c r="AG92" s="5"/>
      <c r="AH92" s="5"/>
      <c r="AI92" s="5"/>
      <c r="AJ92" s="5"/>
      <c r="AK92" s="5"/>
    </row>
    <row r="93" spans="1:37" ht="15" customHeight="1" hidden="1">
      <c r="A93" s="70">
        <v>366</v>
      </c>
      <c r="B93" s="70" t="s">
        <v>153</v>
      </c>
      <c r="C93" s="45">
        <v>25000</v>
      </c>
      <c r="D93" s="42">
        <v>4061.31</v>
      </c>
      <c r="E93" s="252"/>
      <c r="F93" s="29">
        <v>0.8375476</v>
      </c>
      <c r="G93" s="36"/>
      <c r="H93" s="36">
        <v>4061.31</v>
      </c>
      <c r="I93" s="36"/>
      <c r="J93" s="47">
        <v>0</v>
      </c>
      <c r="K93" s="37">
        <v>0</v>
      </c>
      <c r="L93" s="43">
        <v>0</v>
      </c>
      <c r="M93" s="43">
        <v>0</v>
      </c>
      <c r="N93" s="49">
        <v>0</v>
      </c>
      <c r="O93" s="137">
        <v>1600</v>
      </c>
      <c r="P93" s="137">
        <v>1</v>
      </c>
      <c r="Q93" s="182" t="s">
        <v>492</v>
      </c>
      <c r="R93" s="5">
        <v>25000</v>
      </c>
      <c r="S93" s="149">
        <v>25000</v>
      </c>
      <c r="T93" s="149">
        <v>0</v>
      </c>
      <c r="U93" s="150">
        <v>0</v>
      </c>
      <c r="V93" s="5" t="e">
        <v>#REF!</v>
      </c>
      <c r="W93" s="5" t="e">
        <v>#REF!</v>
      </c>
      <c r="X93" s="5"/>
      <c r="Y93" s="5"/>
      <c r="Z93" s="5"/>
      <c r="AA93" s="5"/>
      <c r="AB93" s="5"/>
      <c r="AC93" s="5"/>
      <c r="AD93" s="5"/>
      <c r="AE93" s="5"/>
      <c r="AF93" s="5"/>
      <c r="AG93" s="5"/>
      <c r="AH93" s="5"/>
      <c r="AI93" s="5"/>
      <c r="AJ93" s="5"/>
      <c r="AK93" s="5"/>
    </row>
    <row r="94" spans="1:37" ht="15" customHeight="1">
      <c r="A94" s="70">
        <v>367</v>
      </c>
      <c r="B94" s="70" t="s">
        <v>154</v>
      </c>
      <c r="C94" s="45">
        <v>2574</v>
      </c>
      <c r="D94" s="42">
        <v>795.69</v>
      </c>
      <c r="E94" s="252"/>
      <c r="F94" s="29">
        <v>0.6908741258741259</v>
      </c>
      <c r="G94" s="36"/>
      <c r="H94" s="36">
        <v>795.69</v>
      </c>
      <c r="I94" s="253"/>
      <c r="J94" s="47">
        <v>0</v>
      </c>
      <c r="K94" s="37">
        <v>0</v>
      </c>
      <c r="L94" s="43">
        <v>0</v>
      </c>
      <c r="M94" s="43">
        <v>0</v>
      </c>
      <c r="N94" s="49">
        <v>0</v>
      </c>
      <c r="O94" s="137">
        <v>1650</v>
      </c>
      <c r="P94" s="137">
        <v>1</v>
      </c>
      <c r="Q94" s="182" t="s">
        <v>492</v>
      </c>
      <c r="R94" s="5">
        <v>2574</v>
      </c>
      <c r="S94" s="149">
        <v>2574</v>
      </c>
      <c r="T94" s="149">
        <v>0</v>
      </c>
      <c r="U94" s="150">
        <v>0</v>
      </c>
      <c r="V94" s="5" t="e">
        <v>#REF!</v>
      </c>
      <c r="W94" s="5" t="e">
        <v>#REF!</v>
      </c>
      <c r="X94" s="5"/>
      <c r="Y94" s="5"/>
      <c r="Z94" s="5"/>
      <c r="AA94" s="5"/>
      <c r="AB94" s="5"/>
      <c r="AC94" s="5"/>
      <c r="AD94" s="5"/>
      <c r="AE94" s="5"/>
      <c r="AF94" s="5"/>
      <c r="AG94" s="5"/>
      <c r="AH94" s="5"/>
      <c r="AI94" s="5"/>
      <c r="AJ94" s="5"/>
      <c r="AK94" s="5"/>
    </row>
    <row r="95" spans="1:37" ht="15" customHeight="1" hidden="1">
      <c r="A95" s="70">
        <v>369</v>
      </c>
      <c r="B95" s="70" t="s">
        <v>155</v>
      </c>
      <c r="C95" s="45">
        <v>28883</v>
      </c>
      <c r="D95" s="42">
        <v>7965</v>
      </c>
      <c r="E95" s="252"/>
      <c r="F95" s="29">
        <v>0.7242322473427275</v>
      </c>
      <c r="G95" s="36"/>
      <c r="H95" s="36">
        <v>7965</v>
      </c>
      <c r="I95" s="36"/>
      <c r="J95" s="47">
        <v>0</v>
      </c>
      <c r="K95" s="37">
        <v>0</v>
      </c>
      <c r="L95" s="43">
        <v>0</v>
      </c>
      <c r="M95" s="43">
        <v>0</v>
      </c>
      <c r="N95" s="49">
        <v>0</v>
      </c>
      <c r="O95" s="137">
        <v>1620</v>
      </c>
      <c r="P95" s="137">
        <v>1</v>
      </c>
      <c r="Q95" s="182" t="s">
        <v>492</v>
      </c>
      <c r="R95" s="5">
        <v>28883</v>
      </c>
      <c r="S95" s="149">
        <v>28883</v>
      </c>
      <c r="T95" s="149">
        <v>0</v>
      </c>
      <c r="U95" s="150">
        <v>0</v>
      </c>
      <c r="V95" s="5" t="e">
        <v>#REF!</v>
      </c>
      <c r="W95" s="5" t="e">
        <v>#REF!</v>
      </c>
      <c r="X95" s="5"/>
      <c r="Y95" s="5"/>
      <c r="Z95" s="5"/>
      <c r="AA95" s="5"/>
      <c r="AB95" s="5"/>
      <c r="AC95" s="5"/>
      <c r="AD95" s="5"/>
      <c r="AE95" s="5"/>
      <c r="AF95" s="5"/>
      <c r="AG95" s="5"/>
      <c r="AH95" s="5"/>
      <c r="AI95" s="5"/>
      <c r="AJ95" s="5"/>
      <c r="AK95" s="5"/>
    </row>
    <row r="96" spans="1:37" ht="15" customHeight="1">
      <c r="A96" s="70">
        <v>370</v>
      </c>
      <c r="B96" s="70" t="s">
        <v>566</v>
      </c>
      <c r="C96" s="45">
        <v>0</v>
      </c>
      <c r="D96" s="42">
        <v>0</v>
      </c>
      <c r="E96" s="252"/>
      <c r="F96" s="29" t="s">
        <v>596</v>
      </c>
      <c r="G96" s="36"/>
      <c r="H96" s="36"/>
      <c r="I96" s="253"/>
      <c r="J96" s="47">
        <v>0</v>
      </c>
      <c r="K96" s="37">
        <v>0</v>
      </c>
      <c r="L96" s="43">
        <v>0</v>
      </c>
      <c r="M96" s="43">
        <v>0</v>
      </c>
      <c r="N96" s="49">
        <v>0</v>
      </c>
      <c r="O96" s="137">
        <v>1620</v>
      </c>
      <c r="P96" s="137">
        <v>1</v>
      </c>
      <c r="Q96" s="182" t="s">
        <v>492</v>
      </c>
      <c r="R96" s="5">
        <v>0</v>
      </c>
      <c r="S96" s="149">
        <v>0</v>
      </c>
      <c r="T96" s="149">
        <v>0</v>
      </c>
      <c r="U96" s="150">
        <v>0</v>
      </c>
      <c r="V96" s="5" t="e">
        <v>#REF!</v>
      </c>
      <c r="W96" s="5" t="e">
        <v>#REF!</v>
      </c>
      <c r="X96" s="5"/>
      <c r="Y96" s="5"/>
      <c r="Z96" s="5"/>
      <c r="AA96" s="5"/>
      <c r="AB96" s="5"/>
      <c r="AC96" s="5"/>
      <c r="AD96" s="5"/>
      <c r="AE96" s="5"/>
      <c r="AF96" s="5"/>
      <c r="AG96" s="5"/>
      <c r="AH96" s="5"/>
      <c r="AI96" s="5"/>
      <c r="AJ96" s="5"/>
      <c r="AK96" s="5"/>
    </row>
    <row r="97" spans="1:37" ht="15" customHeight="1">
      <c r="A97" s="70">
        <v>502</v>
      </c>
      <c r="B97" s="70" t="s">
        <v>158</v>
      </c>
      <c r="C97" s="45">
        <v>3500</v>
      </c>
      <c r="D97" s="42">
        <v>-83.91</v>
      </c>
      <c r="E97" s="252"/>
      <c r="F97" s="29">
        <v>1.0239742857142857</v>
      </c>
      <c r="G97" s="36"/>
      <c r="H97" s="36"/>
      <c r="I97" s="253"/>
      <c r="J97" s="47">
        <v>0</v>
      </c>
      <c r="K97" s="37">
        <v>83.91</v>
      </c>
      <c r="L97" s="43">
        <v>0</v>
      </c>
      <c r="M97" s="43">
        <v>0</v>
      </c>
      <c r="N97" s="49">
        <v>-83.91</v>
      </c>
      <c r="O97" s="137">
        <v>1810</v>
      </c>
      <c r="P97" s="137">
        <v>1</v>
      </c>
      <c r="Q97" s="182" t="s">
        <v>492</v>
      </c>
      <c r="R97" s="5">
        <v>3500</v>
      </c>
      <c r="S97" s="149">
        <v>3500</v>
      </c>
      <c r="T97" s="149">
        <v>0</v>
      </c>
      <c r="U97" s="150">
        <v>0</v>
      </c>
      <c r="V97" s="5" t="e">
        <v>#REF!</v>
      </c>
      <c r="W97" s="5" t="e">
        <v>#REF!</v>
      </c>
      <c r="X97" s="5"/>
      <c r="Y97" s="5"/>
      <c r="Z97" s="5"/>
      <c r="AA97" s="5"/>
      <c r="AB97" s="5"/>
      <c r="AC97" s="5"/>
      <c r="AD97" s="5"/>
      <c r="AE97" s="5"/>
      <c r="AF97" s="5"/>
      <c r="AG97" s="5"/>
      <c r="AH97" s="5"/>
      <c r="AI97" s="5"/>
      <c r="AJ97" s="5"/>
      <c r="AK97" s="5"/>
    </row>
    <row r="98" spans="1:37" ht="15" customHeight="1" hidden="1">
      <c r="A98" s="70">
        <v>503</v>
      </c>
      <c r="B98" s="70" t="s">
        <v>159</v>
      </c>
      <c r="C98" s="45">
        <v>12000</v>
      </c>
      <c r="D98" s="42">
        <v>330.59</v>
      </c>
      <c r="E98" s="252"/>
      <c r="F98" s="29">
        <v>0.9724508333333334</v>
      </c>
      <c r="G98" s="36"/>
      <c r="H98" s="36"/>
      <c r="I98" s="36"/>
      <c r="J98" s="47">
        <v>330.59</v>
      </c>
      <c r="K98" s="37">
        <v>0</v>
      </c>
      <c r="L98" s="43">
        <v>0</v>
      </c>
      <c r="M98" s="43">
        <v>0</v>
      </c>
      <c r="N98" s="49">
        <v>330.59</v>
      </c>
      <c r="O98" s="137">
        <v>1800</v>
      </c>
      <c r="P98" s="137">
        <v>1</v>
      </c>
      <c r="Q98" s="182" t="s">
        <v>492</v>
      </c>
      <c r="R98" s="5">
        <v>12000</v>
      </c>
      <c r="S98" s="149">
        <v>12000</v>
      </c>
      <c r="T98" s="149">
        <v>0</v>
      </c>
      <c r="U98" s="150">
        <v>0</v>
      </c>
      <c r="V98" s="5" t="e">
        <v>#REF!</v>
      </c>
      <c r="W98" s="5" t="e">
        <v>#REF!</v>
      </c>
      <c r="X98" s="5"/>
      <c r="Y98" s="5"/>
      <c r="Z98" s="5"/>
      <c r="AA98" s="5"/>
      <c r="AB98" s="5"/>
      <c r="AC98" s="5"/>
      <c r="AD98" s="5"/>
      <c r="AE98" s="5"/>
      <c r="AF98" s="5"/>
      <c r="AG98" s="5"/>
      <c r="AH98" s="5"/>
      <c r="AI98" s="5"/>
      <c r="AJ98" s="5"/>
      <c r="AK98" s="5"/>
    </row>
    <row r="99" spans="1:37" ht="15" customHeight="1">
      <c r="A99" s="70">
        <v>504</v>
      </c>
      <c r="B99" s="70" t="s">
        <v>160</v>
      </c>
      <c r="C99" s="45">
        <v>0</v>
      </c>
      <c r="D99" s="42">
        <v>-5245.73</v>
      </c>
      <c r="E99" s="252"/>
      <c r="F99" s="29" t="s">
        <v>596</v>
      </c>
      <c r="G99" s="36">
        <v>5245.73</v>
      </c>
      <c r="H99" s="36"/>
      <c r="I99" s="253" t="s">
        <v>749</v>
      </c>
      <c r="J99" s="47">
        <v>0</v>
      </c>
      <c r="K99" s="37">
        <v>0</v>
      </c>
      <c r="L99" s="43">
        <v>5134.049999999999</v>
      </c>
      <c r="M99" s="43">
        <v>0</v>
      </c>
      <c r="N99" s="49">
        <v>-5134.049999999999</v>
      </c>
      <c r="O99" s="137">
        <v>2010</v>
      </c>
      <c r="P99" s="137">
        <v>1</v>
      </c>
      <c r="Q99" s="182" t="s">
        <v>492</v>
      </c>
      <c r="R99" s="5">
        <v>0</v>
      </c>
      <c r="S99" s="149">
        <v>-5134.049999999999</v>
      </c>
      <c r="T99" s="149">
        <v>5134.049999999999</v>
      </c>
      <c r="U99" s="150">
        <v>0</v>
      </c>
      <c r="V99" s="5" t="e">
        <v>#REF!</v>
      </c>
      <c r="W99" s="5" t="e">
        <v>#REF!</v>
      </c>
      <c r="X99" s="5"/>
      <c r="Y99" s="5"/>
      <c r="Z99" s="5"/>
      <c r="AA99" s="5"/>
      <c r="AB99" s="5"/>
      <c r="AC99" s="5"/>
      <c r="AD99" s="5"/>
      <c r="AE99" s="5"/>
      <c r="AF99" s="5"/>
      <c r="AG99" s="5"/>
      <c r="AH99" s="5"/>
      <c r="AI99" s="5"/>
      <c r="AJ99" s="5"/>
      <c r="AK99" s="5"/>
    </row>
    <row r="100" spans="1:37" ht="15" customHeight="1">
      <c r="A100" s="254">
        <v>505</v>
      </c>
      <c r="B100" s="254" t="s">
        <v>161</v>
      </c>
      <c r="C100" s="45">
        <v>140000</v>
      </c>
      <c r="D100" s="42">
        <v>128132.53</v>
      </c>
      <c r="E100" s="252"/>
      <c r="F100" s="29">
        <v>0.08476764285714286</v>
      </c>
      <c r="G100" s="36"/>
      <c r="H100" s="36">
        <v>128132.53</v>
      </c>
      <c r="I100" s="253"/>
      <c r="J100" s="47">
        <v>0</v>
      </c>
      <c r="K100" s="37">
        <v>0</v>
      </c>
      <c r="L100" s="43">
        <v>0</v>
      </c>
      <c r="M100" s="43">
        <v>0</v>
      </c>
      <c r="N100" s="49">
        <v>0</v>
      </c>
      <c r="O100" s="137">
        <v>1610</v>
      </c>
      <c r="P100" s="137">
        <v>1</v>
      </c>
      <c r="Q100" s="182" t="s">
        <v>492</v>
      </c>
      <c r="R100" s="5">
        <v>140000</v>
      </c>
      <c r="S100" s="149">
        <v>140000</v>
      </c>
      <c r="T100" s="149">
        <v>0</v>
      </c>
      <c r="U100" s="150">
        <v>0</v>
      </c>
      <c r="V100" s="5" t="e">
        <v>#REF!</v>
      </c>
      <c r="W100" s="5" t="e">
        <v>#REF!</v>
      </c>
      <c r="X100" s="5"/>
      <c r="Y100" s="5"/>
      <c r="Z100" s="5"/>
      <c r="AA100" s="5"/>
      <c r="AB100" s="5"/>
      <c r="AC100" s="5"/>
      <c r="AD100" s="5"/>
      <c r="AE100" s="5"/>
      <c r="AF100" s="5"/>
      <c r="AG100" s="5"/>
      <c r="AH100" s="5"/>
      <c r="AI100" s="5"/>
      <c r="AJ100" s="5"/>
      <c r="AK100" s="5"/>
    </row>
    <row r="101" spans="1:37" ht="15" customHeight="1">
      <c r="A101" s="70">
        <v>506</v>
      </c>
      <c r="B101" s="70" t="s">
        <v>162</v>
      </c>
      <c r="C101" s="45">
        <v>500</v>
      </c>
      <c r="D101" s="42">
        <v>307.37</v>
      </c>
      <c r="E101" s="252"/>
      <c r="F101" s="29">
        <v>0.38526</v>
      </c>
      <c r="G101" s="36"/>
      <c r="H101" s="36">
        <v>307.37</v>
      </c>
      <c r="I101" s="253"/>
      <c r="J101" s="47">
        <v>0</v>
      </c>
      <c r="K101" s="37">
        <v>0</v>
      </c>
      <c r="L101" s="43">
        <v>0</v>
      </c>
      <c r="M101" s="43">
        <v>0</v>
      </c>
      <c r="N101" s="49">
        <v>0</v>
      </c>
      <c r="O101" s="137">
        <v>1630</v>
      </c>
      <c r="P101" s="137">
        <v>1</v>
      </c>
      <c r="Q101" s="182" t="s">
        <v>492</v>
      </c>
      <c r="R101" s="5">
        <v>500</v>
      </c>
      <c r="S101" s="149">
        <v>500</v>
      </c>
      <c r="T101" s="149">
        <v>0</v>
      </c>
      <c r="U101" s="150">
        <v>0</v>
      </c>
      <c r="V101" s="5" t="e">
        <v>#REF!</v>
      </c>
      <c r="W101" s="5" t="e">
        <v>#REF!</v>
      </c>
      <c r="X101" s="5"/>
      <c r="Y101" s="5"/>
      <c r="Z101" s="5"/>
      <c r="AA101" s="5"/>
      <c r="AB101" s="5"/>
      <c r="AC101" s="5"/>
      <c r="AD101" s="5"/>
      <c r="AE101" s="5"/>
      <c r="AF101" s="5"/>
      <c r="AG101" s="5"/>
      <c r="AH101" s="5"/>
      <c r="AI101" s="5"/>
      <c r="AJ101" s="5"/>
      <c r="AK101" s="5"/>
    </row>
    <row r="102" spans="1:37" ht="15" customHeight="1">
      <c r="A102" s="70">
        <v>509</v>
      </c>
      <c r="B102" s="70" t="s">
        <v>167</v>
      </c>
      <c r="C102" s="45">
        <v>949</v>
      </c>
      <c r="D102" s="42">
        <v>888.19</v>
      </c>
      <c r="E102" s="252"/>
      <c r="F102" s="29">
        <v>0.06407797681770279</v>
      </c>
      <c r="G102" s="36"/>
      <c r="H102" s="36">
        <v>888.19</v>
      </c>
      <c r="I102" s="253"/>
      <c r="J102" s="47">
        <v>0</v>
      </c>
      <c r="K102" s="37">
        <v>0</v>
      </c>
      <c r="L102" s="43">
        <v>0</v>
      </c>
      <c r="M102" s="43">
        <v>0</v>
      </c>
      <c r="N102" s="49">
        <v>0</v>
      </c>
      <c r="O102" s="137">
        <v>1630</v>
      </c>
      <c r="P102" s="137">
        <v>1</v>
      </c>
      <c r="Q102" s="182" t="s">
        <v>492</v>
      </c>
      <c r="R102" s="5">
        <v>349</v>
      </c>
      <c r="S102" s="149">
        <v>349</v>
      </c>
      <c r="T102" s="149">
        <v>0</v>
      </c>
      <c r="U102" s="150">
        <v>0</v>
      </c>
      <c r="V102" s="5" t="e">
        <v>#REF!</v>
      </c>
      <c r="W102" s="5" t="e">
        <v>#REF!</v>
      </c>
      <c r="X102" s="5"/>
      <c r="Y102" s="5"/>
      <c r="Z102" s="5"/>
      <c r="AA102" s="5"/>
      <c r="AB102" s="5"/>
      <c r="AC102" s="5"/>
      <c r="AD102" s="5"/>
      <c r="AE102" s="5"/>
      <c r="AF102" s="5"/>
      <c r="AG102" s="5"/>
      <c r="AH102" s="5"/>
      <c r="AI102" s="5"/>
      <c r="AJ102" s="5"/>
      <c r="AK102" s="5"/>
    </row>
    <row r="103" spans="1:37" ht="15" customHeight="1">
      <c r="A103" s="70">
        <v>510</v>
      </c>
      <c r="B103" s="70" t="s">
        <v>168</v>
      </c>
      <c r="C103" s="45">
        <v>1800</v>
      </c>
      <c r="D103" s="42">
        <v>1573.14</v>
      </c>
      <c r="E103" s="252"/>
      <c r="F103" s="29">
        <v>0.12603333333333328</v>
      </c>
      <c r="G103" s="36"/>
      <c r="H103" s="36">
        <v>1573.14</v>
      </c>
      <c r="I103" s="253"/>
      <c r="J103" s="47">
        <v>0</v>
      </c>
      <c r="K103" s="37">
        <v>0</v>
      </c>
      <c r="L103" s="43">
        <v>0</v>
      </c>
      <c r="M103" s="43">
        <v>0</v>
      </c>
      <c r="N103" s="49">
        <v>0</v>
      </c>
      <c r="O103" s="137">
        <v>1600</v>
      </c>
      <c r="P103" s="137">
        <v>1</v>
      </c>
      <c r="Q103" s="182" t="s">
        <v>492</v>
      </c>
      <c r="R103" s="5">
        <v>1800</v>
      </c>
      <c r="S103" s="149">
        <v>1800</v>
      </c>
      <c r="T103" s="149">
        <v>0</v>
      </c>
      <c r="U103" s="150">
        <v>0</v>
      </c>
      <c r="V103" s="5" t="e">
        <v>#REF!</v>
      </c>
      <c r="W103" s="5" t="e">
        <v>#REF!</v>
      </c>
      <c r="X103" s="5"/>
      <c r="Y103" s="5"/>
      <c r="Z103" s="5"/>
      <c r="AA103" s="5"/>
      <c r="AB103" s="5"/>
      <c r="AC103" s="5"/>
      <c r="AD103" s="5"/>
      <c r="AE103" s="5"/>
      <c r="AF103" s="5"/>
      <c r="AG103" s="5"/>
      <c r="AH103" s="5"/>
      <c r="AI103" s="5"/>
      <c r="AJ103" s="5"/>
      <c r="AK103" s="5"/>
    </row>
    <row r="104" spans="1:37" ht="15" customHeight="1">
      <c r="A104" s="70">
        <v>513</v>
      </c>
      <c r="B104" s="70" t="s">
        <v>173</v>
      </c>
      <c r="C104" s="45">
        <v>10000</v>
      </c>
      <c r="D104" s="42">
        <v>3755.62</v>
      </c>
      <c r="E104" s="252"/>
      <c r="F104" s="29">
        <v>0.624438</v>
      </c>
      <c r="G104" s="36"/>
      <c r="H104" s="36">
        <v>3755.62</v>
      </c>
      <c r="I104" s="253"/>
      <c r="J104" s="47">
        <v>0</v>
      </c>
      <c r="K104" s="37">
        <v>0</v>
      </c>
      <c r="L104" s="43">
        <v>0</v>
      </c>
      <c r="M104" s="43">
        <v>0</v>
      </c>
      <c r="N104" s="49">
        <v>0</v>
      </c>
      <c r="O104" s="137">
        <v>1680</v>
      </c>
      <c r="P104" s="137">
        <v>1</v>
      </c>
      <c r="Q104" s="182" t="s">
        <v>492</v>
      </c>
      <c r="R104" s="5">
        <v>10000</v>
      </c>
      <c r="S104" s="149">
        <v>10000</v>
      </c>
      <c r="T104" s="149">
        <v>0</v>
      </c>
      <c r="U104" s="150">
        <v>0</v>
      </c>
      <c r="V104" s="5" t="e">
        <v>#REF!</v>
      </c>
      <c r="W104" s="5" t="e">
        <v>#REF!</v>
      </c>
      <c r="X104" s="5"/>
      <c r="Y104" s="5"/>
      <c r="Z104" s="5"/>
      <c r="AA104" s="5"/>
      <c r="AB104" s="5"/>
      <c r="AC104" s="5"/>
      <c r="AD104" s="5"/>
      <c r="AE104" s="5"/>
      <c r="AF104" s="5"/>
      <c r="AG104" s="5"/>
      <c r="AH104" s="5"/>
      <c r="AI104" s="5"/>
      <c r="AJ104" s="5"/>
      <c r="AK104" s="5"/>
    </row>
    <row r="105" spans="1:37" ht="15" customHeight="1">
      <c r="A105" s="70">
        <v>514</v>
      </c>
      <c r="B105" s="70" t="s">
        <v>174</v>
      </c>
      <c r="C105" s="45">
        <v>0</v>
      </c>
      <c r="D105" s="42">
        <v>5538.6</v>
      </c>
      <c r="E105" s="252"/>
      <c r="F105" s="29" t="s">
        <v>596</v>
      </c>
      <c r="G105" s="36"/>
      <c r="H105" s="36">
        <v>5538.6</v>
      </c>
      <c r="I105" s="253" t="s">
        <v>750</v>
      </c>
      <c r="J105" s="47">
        <v>0</v>
      </c>
      <c r="K105" s="37">
        <v>0</v>
      </c>
      <c r="L105" s="43">
        <v>3985.62</v>
      </c>
      <c r="M105" s="43">
        <v>0</v>
      </c>
      <c r="N105" s="49">
        <v>-3985.62</v>
      </c>
      <c r="O105" s="137">
        <v>1600</v>
      </c>
      <c r="P105" s="137">
        <v>1</v>
      </c>
      <c r="Q105" s="182" t="s">
        <v>492</v>
      </c>
      <c r="R105" s="5">
        <v>0</v>
      </c>
      <c r="S105" s="149">
        <v>-3985.62</v>
      </c>
      <c r="T105" s="149">
        <v>3985.62</v>
      </c>
      <c r="U105" s="150">
        <v>0</v>
      </c>
      <c r="V105" s="5" t="e">
        <v>#REF!</v>
      </c>
      <c r="W105" s="5" t="e">
        <v>#REF!</v>
      </c>
      <c r="X105" s="5"/>
      <c r="Y105" s="5"/>
      <c r="Z105" s="5"/>
      <c r="AA105" s="5"/>
      <c r="AB105" s="5"/>
      <c r="AC105" s="5"/>
      <c r="AD105" s="5"/>
      <c r="AE105" s="5"/>
      <c r="AF105" s="5"/>
      <c r="AG105" s="5"/>
      <c r="AH105" s="5"/>
      <c r="AI105" s="5"/>
      <c r="AJ105" s="5"/>
      <c r="AK105" s="5"/>
    </row>
    <row r="106" spans="1:37" ht="15" customHeight="1" hidden="1">
      <c r="A106" s="70">
        <v>515</v>
      </c>
      <c r="B106" s="70" t="s">
        <v>175</v>
      </c>
      <c r="C106" s="45">
        <v>5000</v>
      </c>
      <c r="D106" s="42">
        <v>3408.13</v>
      </c>
      <c r="E106" s="252"/>
      <c r="F106" s="29">
        <v>0.318374</v>
      </c>
      <c r="G106" s="36"/>
      <c r="H106" s="36">
        <v>3408.13</v>
      </c>
      <c r="I106" s="36"/>
      <c r="J106" s="47">
        <v>0</v>
      </c>
      <c r="K106" s="37">
        <v>0</v>
      </c>
      <c r="L106" s="43">
        <v>0</v>
      </c>
      <c r="M106" s="43">
        <v>0</v>
      </c>
      <c r="N106" s="49">
        <v>0</v>
      </c>
      <c r="O106" s="137">
        <v>1830</v>
      </c>
      <c r="P106" s="137">
        <v>1</v>
      </c>
      <c r="Q106" s="182" t="s">
        <v>492</v>
      </c>
      <c r="R106" s="5">
        <v>5000</v>
      </c>
      <c r="S106" s="149">
        <v>5000</v>
      </c>
      <c r="T106" s="149">
        <v>0</v>
      </c>
      <c r="U106" s="150">
        <v>0</v>
      </c>
      <c r="V106" s="5" t="e">
        <v>#REF!</v>
      </c>
      <c r="W106" s="5" t="e">
        <v>#REF!</v>
      </c>
      <c r="X106" s="5"/>
      <c r="Y106" s="5"/>
      <c r="Z106" s="5"/>
      <c r="AA106" s="5"/>
      <c r="AB106" s="5"/>
      <c r="AC106" s="5"/>
      <c r="AD106" s="5"/>
      <c r="AE106" s="5"/>
      <c r="AF106" s="5"/>
      <c r="AG106" s="5"/>
      <c r="AH106" s="5"/>
      <c r="AI106" s="5"/>
      <c r="AJ106" s="5"/>
      <c r="AK106" s="5"/>
    </row>
    <row r="107" spans="1:37" ht="15" customHeight="1" hidden="1">
      <c r="A107" s="70">
        <v>516</v>
      </c>
      <c r="B107" s="193" t="s">
        <v>176</v>
      </c>
      <c r="C107" s="45">
        <v>-13600</v>
      </c>
      <c r="D107" s="42">
        <v>-11555.71</v>
      </c>
      <c r="E107" s="252"/>
      <c r="F107" s="29">
        <v>0.15031544117647067</v>
      </c>
      <c r="G107" s="36">
        <v>11555.71</v>
      </c>
      <c r="H107" s="36"/>
      <c r="I107" s="36"/>
      <c r="J107" s="47">
        <v>0</v>
      </c>
      <c r="K107" s="37">
        <v>0</v>
      </c>
      <c r="L107" s="43">
        <v>0</v>
      </c>
      <c r="M107" s="43">
        <v>0</v>
      </c>
      <c r="N107" s="49">
        <v>0</v>
      </c>
      <c r="O107" s="137">
        <v>5300</v>
      </c>
      <c r="P107" s="137">
        <v>1</v>
      </c>
      <c r="Q107" s="182" t="s">
        <v>492</v>
      </c>
      <c r="R107" s="5">
        <v>-10000</v>
      </c>
      <c r="S107" s="149">
        <v>-10000</v>
      </c>
      <c r="T107" s="149">
        <v>0</v>
      </c>
      <c r="U107" s="150">
        <v>0</v>
      </c>
      <c r="V107" s="5" t="e">
        <v>#REF!</v>
      </c>
      <c r="W107" s="5" t="e">
        <v>#REF!</v>
      </c>
      <c r="X107" s="5"/>
      <c r="Y107" s="5"/>
      <c r="Z107" s="5"/>
      <c r="AA107" s="5"/>
      <c r="AB107" s="5"/>
      <c r="AC107" s="5"/>
      <c r="AD107" s="5"/>
      <c r="AE107" s="5"/>
      <c r="AF107" s="5"/>
      <c r="AG107" s="5"/>
      <c r="AH107" s="5"/>
      <c r="AI107" s="5"/>
      <c r="AJ107" s="5"/>
      <c r="AK107" s="5"/>
    </row>
    <row r="108" spans="1:37" ht="15" customHeight="1">
      <c r="A108" s="70">
        <v>517</v>
      </c>
      <c r="B108" s="70" t="s">
        <v>177</v>
      </c>
      <c r="C108" s="45">
        <v>2500</v>
      </c>
      <c r="D108" s="42">
        <v>1732.69</v>
      </c>
      <c r="E108" s="252"/>
      <c r="F108" s="29">
        <v>0.306924</v>
      </c>
      <c r="G108" s="36"/>
      <c r="H108" s="36">
        <v>1732.69</v>
      </c>
      <c r="I108" s="253"/>
      <c r="J108" s="47">
        <v>0</v>
      </c>
      <c r="K108" s="37">
        <v>0</v>
      </c>
      <c r="L108" s="43">
        <v>0</v>
      </c>
      <c r="M108" s="43">
        <v>0</v>
      </c>
      <c r="N108" s="49">
        <v>0</v>
      </c>
      <c r="O108" s="137">
        <v>2200</v>
      </c>
      <c r="P108" s="137">
        <v>1</v>
      </c>
      <c r="Q108" s="182" t="s">
        <v>492</v>
      </c>
      <c r="R108" s="5">
        <v>2500</v>
      </c>
      <c r="S108" s="149">
        <v>2500</v>
      </c>
      <c r="T108" s="149">
        <v>0</v>
      </c>
      <c r="U108" s="150">
        <v>0</v>
      </c>
      <c r="V108" s="5" t="e">
        <v>#REF!</v>
      </c>
      <c r="W108" s="5" t="e">
        <v>#REF!</v>
      </c>
      <c r="X108" s="5"/>
      <c r="Y108" s="5"/>
      <c r="Z108" s="5"/>
      <c r="AA108" s="5"/>
      <c r="AB108" s="5"/>
      <c r="AC108" s="5"/>
      <c r="AD108" s="5"/>
      <c r="AE108" s="5"/>
      <c r="AF108" s="5"/>
      <c r="AG108" s="5"/>
      <c r="AH108" s="5"/>
      <c r="AI108" s="5"/>
      <c r="AJ108" s="5"/>
      <c r="AK108" s="5"/>
    </row>
    <row r="109" spans="1:37" ht="15" customHeight="1">
      <c r="A109" s="70">
        <v>518</v>
      </c>
      <c r="B109" s="70" t="s">
        <v>178</v>
      </c>
      <c r="C109" s="45">
        <v>6000</v>
      </c>
      <c r="D109" s="42">
        <v>240.73</v>
      </c>
      <c r="E109" s="252"/>
      <c r="F109" s="29">
        <v>0.9598783333333334</v>
      </c>
      <c r="G109" s="36"/>
      <c r="H109" s="36">
        <v>240.73</v>
      </c>
      <c r="I109" s="57"/>
      <c r="J109" s="47">
        <v>0</v>
      </c>
      <c r="K109" s="37">
        <v>0</v>
      </c>
      <c r="L109" s="43">
        <v>0</v>
      </c>
      <c r="M109" s="43">
        <v>0</v>
      </c>
      <c r="N109" s="49">
        <v>0</v>
      </c>
      <c r="O109" s="137">
        <v>1830</v>
      </c>
      <c r="P109" s="137">
        <v>1</v>
      </c>
      <c r="Q109" s="182" t="s">
        <v>492</v>
      </c>
      <c r="R109" s="5">
        <v>6000</v>
      </c>
      <c r="S109" s="149">
        <v>6000</v>
      </c>
      <c r="T109" s="149">
        <v>0</v>
      </c>
      <c r="U109" s="150">
        <v>0</v>
      </c>
      <c r="V109" s="5" t="e">
        <v>#REF!</v>
      </c>
      <c r="W109" s="5" t="e">
        <v>#REF!</v>
      </c>
      <c r="X109" s="5"/>
      <c r="Y109" s="5"/>
      <c r="Z109" s="5"/>
      <c r="AA109" s="5"/>
      <c r="AB109" s="5"/>
      <c r="AC109" s="5"/>
      <c r="AD109" s="5"/>
      <c r="AE109" s="5"/>
      <c r="AF109" s="5"/>
      <c r="AG109" s="5"/>
      <c r="AH109" s="5"/>
      <c r="AI109" s="5"/>
      <c r="AJ109" s="5"/>
      <c r="AK109" s="5"/>
    </row>
    <row r="110" spans="1:37" ht="15" customHeight="1">
      <c r="A110" s="70">
        <v>519</v>
      </c>
      <c r="B110" s="70" t="s">
        <v>179</v>
      </c>
      <c r="C110" s="45">
        <v>35000</v>
      </c>
      <c r="D110" s="42">
        <v>-1.39</v>
      </c>
      <c r="E110" s="252"/>
      <c r="F110" s="29">
        <v>1.0000397142857143</v>
      </c>
      <c r="G110" s="36"/>
      <c r="H110" s="36"/>
      <c r="I110" s="253"/>
      <c r="J110" s="47">
        <v>0</v>
      </c>
      <c r="K110" s="37">
        <v>1.39</v>
      </c>
      <c r="L110" s="43">
        <v>0</v>
      </c>
      <c r="M110" s="43">
        <v>0</v>
      </c>
      <c r="N110" s="49">
        <v>-1.39</v>
      </c>
      <c r="O110" s="137">
        <v>1820</v>
      </c>
      <c r="P110" s="137">
        <v>1</v>
      </c>
      <c r="Q110" s="182" t="s">
        <v>492</v>
      </c>
      <c r="R110" s="5">
        <v>35000</v>
      </c>
      <c r="S110" s="149">
        <v>35000</v>
      </c>
      <c r="T110" s="149">
        <v>0</v>
      </c>
      <c r="U110" s="150">
        <v>0</v>
      </c>
      <c r="V110" s="5" t="e">
        <v>#REF!</v>
      </c>
      <c r="W110" s="5" t="e">
        <v>#REF!</v>
      </c>
      <c r="X110" s="5"/>
      <c r="Y110" s="5"/>
      <c r="Z110" s="5"/>
      <c r="AA110" s="5"/>
      <c r="AB110" s="5"/>
      <c r="AC110" s="5"/>
      <c r="AD110" s="5"/>
      <c r="AE110" s="5"/>
      <c r="AF110" s="5"/>
      <c r="AG110" s="5"/>
      <c r="AH110" s="5"/>
      <c r="AI110" s="5"/>
      <c r="AJ110" s="5"/>
      <c r="AK110" s="5"/>
    </row>
    <row r="111" spans="1:37" ht="15" customHeight="1">
      <c r="A111" s="70">
        <v>520</v>
      </c>
      <c r="B111" s="70" t="s">
        <v>180</v>
      </c>
      <c r="C111" s="45">
        <v>0</v>
      </c>
      <c r="D111" s="42">
        <v>108</v>
      </c>
      <c r="E111" s="252"/>
      <c r="F111" s="29" t="s">
        <v>596</v>
      </c>
      <c r="G111" s="36"/>
      <c r="H111" s="36"/>
      <c r="I111" s="253"/>
      <c r="J111" s="47">
        <v>108</v>
      </c>
      <c r="K111" s="37">
        <v>0</v>
      </c>
      <c r="L111" s="43">
        <v>0</v>
      </c>
      <c r="M111" s="43">
        <v>0</v>
      </c>
      <c r="N111" s="49">
        <v>108</v>
      </c>
      <c r="O111" s="137">
        <v>1680</v>
      </c>
      <c r="P111" s="137">
        <v>1</v>
      </c>
      <c r="Q111" s="182" t="s">
        <v>492</v>
      </c>
      <c r="R111" s="5">
        <v>0</v>
      </c>
      <c r="S111" s="149">
        <v>0</v>
      </c>
      <c r="T111" s="149">
        <v>0</v>
      </c>
      <c r="U111" s="150">
        <v>0</v>
      </c>
      <c r="V111" s="5" t="e">
        <v>#REF!</v>
      </c>
      <c r="W111" s="5" t="e">
        <v>#REF!</v>
      </c>
      <c r="X111" s="5"/>
      <c r="Y111" s="5"/>
      <c r="Z111" s="5"/>
      <c r="AA111" s="5"/>
      <c r="AB111" s="5"/>
      <c r="AC111" s="5"/>
      <c r="AD111" s="5"/>
      <c r="AE111" s="5"/>
      <c r="AF111" s="5"/>
      <c r="AG111" s="5"/>
      <c r="AH111" s="5"/>
      <c r="AI111" s="5"/>
      <c r="AJ111" s="5"/>
      <c r="AK111" s="5"/>
    </row>
    <row r="112" spans="1:37" ht="15" customHeight="1">
      <c r="A112" s="73">
        <v>522</v>
      </c>
      <c r="B112" s="70" t="s">
        <v>567</v>
      </c>
      <c r="C112" s="45">
        <v>2000</v>
      </c>
      <c r="D112" s="42">
        <v>1706.73</v>
      </c>
      <c r="E112" s="252"/>
      <c r="F112" s="29">
        <v>0.146635</v>
      </c>
      <c r="G112" s="36"/>
      <c r="H112" s="36">
        <v>1706.73</v>
      </c>
      <c r="I112" s="253"/>
      <c r="J112" s="47">
        <v>0</v>
      </c>
      <c r="K112" s="37">
        <v>0</v>
      </c>
      <c r="L112" s="43">
        <v>0</v>
      </c>
      <c r="M112" s="43">
        <v>0</v>
      </c>
      <c r="N112" s="49">
        <v>0</v>
      </c>
      <c r="O112" s="137">
        <v>2230</v>
      </c>
      <c r="P112" s="137">
        <v>1</v>
      </c>
      <c r="Q112" s="182" t="s">
        <v>492</v>
      </c>
      <c r="R112" s="5">
        <v>2000</v>
      </c>
      <c r="S112" s="149">
        <v>2000</v>
      </c>
      <c r="T112" s="149">
        <v>0</v>
      </c>
      <c r="U112" s="150">
        <v>0</v>
      </c>
      <c r="V112" s="5" t="e">
        <v>#REF!</v>
      </c>
      <c r="W112" s="5" t="e">
        <v>#REF!</v>
      </c>
      <c r="X112" s="5"/>
      <c r="Y112" s="5"/>
      <c r="Z112" s="5"/>
      <c r="AA112" s="5"/>
      <c r="AB112" s="5"/>
      <c r="AC112" s="5"/>
      <c r="AD112" s="5"/>
      <c r="AE112" s="5"/>
      <c r="AF112" s="5"/>
      <c r="AG112" s="5"/>
      <c r="AH112" s="5"/>
      <c r="AI112" s="5"/>
      <c r="AJ112" s="5"/>
      <c r="AK112" s="5"/>
    </row>
    <row r="113" spans="1:37" ht="15" customHeight="1" hidden="1">
      <c r="A113" s="70">
        <v>526</v>
      </c>
      <c r="B113" s="70" t="s">
        <v>183</v>
      </c>
      <c r="C113" s="45">
        <v>4000</v>
      </c>
      <c r="D113" s="42">
        <v>3319</v>
      </c>
      <c r="E113" s="252"/>
      <c r="F113" s="29">
        <v>0.17025</v>
      </c>
      <c r="G113" s="36"/>
      <c r="H113" s="36">
        <v>3319</v>
      </c>
      <c r="I113" s="36" t="s">
        <v>751</v>
      </c>
      <c r="J113" s="47">
        <v>0</v>
      </c>
      <c r="K113" s="37">
        <v>0</v>
      </c>
      <c r="L113" s="43">
        <v>0</v>
      </c>
      <c r="M113" s="43">
        <v>0</v>
      </c>
      <c r="N113" s="49">
        <v>0</v>
      </c>
      <c r="O113" s="137">
        <v>2200</v>
      </c>
      <c r="P113" s="137">
        <v>1</v>
      </c>
      <c r="Q113" s="182" t="s">
        <v>492</v>
      </c>
      <c r="R113" s="5">
        <v>4000</v>
      </c>
      <c r="S113" s="149">
        <v>4000</v>
      </c>
      <c r="T113" s="149">
        <v>0</v>
      </c>
      <c r="U113" s="150">
        <v>0</v>
      </c>
      <c r="V113" s="5" t="e">
        <v>#REF!</v>
      </c>
      <c r="W113" s="5" t="e">
        <v>#REF!</v>
      </c>
      <c r="X113" s="5"/>
      <c r="Y113" s="5"/>
      <c r="Z113" s="5"/>
      <c r="AA113" s="5"/>
      <c r="AB113" s="5"/>
      <c r="AC113" s="5"/>
      <c r="AD113" s="5"/>
      <c r="AE113" s="5"/>
      <c r="AF113" s="5"/>
      <c r="AG113" s="5"/>
      <c r="AH113" s="5"/>
      <c r="AI113" s="5"/>
      <c r="AJ113" s="5"/>
      <c r="AK113" s="5"/>
    </row>
    <row r="114" spans="1:37" ht="15" customHeight="1" hidden="1">
      <c r="A114" s="70">
        <v>527</v>
      </c>
      <c r="B114" s="70" t="s">
        <v>184</v>
      </c>
      <c r="C114" s="45">
        <v>14926</v>
      </c>
      <c r="D114" s="42">
        <v>9252.23</v>
      </c>
      <c r="E114" s="252"/>
      <c r="F114" s="29">
        <v>0.3801266246817634</v>
      </c>
      <c r="G114" s="36"/>
      <c r="H114" s="36">
        <v>9252.23</v>
      </c>
      <c r="I114" s="36"/>
      <c r="J114" s="47">
        <v>0</v>
      </c>
      <c r="K114" s="37">
        <v>0</v>
      </c>
      <c r="L114" s="43">
        <v>0</v>
      </c>
      <c r="M114" s="43">
        <v>0</v>
      </c>
      <c r="N114" s="49">
        <v>0</v>
      </c>
      <c r="O114" s="137">
        <v>1620</v>
      </c>
      <c r="P114" s="137">
        <v>1</v>
      </c>
      <c r="Q114" s="182" t="s">
        <v>492</v>
      </c>
      <c r="R114" s="5">
        <v>14926</v>
      </c>
      <c r="S114" s="149">
        <v>14926</v>
      </c>
      <c r="T114" s="149">
        <v>0</v>
      </c>
      <c r="U114" s="150">
        <v>0</v>
      </c>
      <c r="V114" s="5" t="e">
        <v>#REF!</v>
      </c>
      <c r="W114" s="5" t="e">
        <v>#REF!</v>
      </c>
      <c r="X114" s="5"/>
      <c r="Y114" s="5"/>
      <c r="Z114" s="5"/>
      <c r="AA114" s="5"/>
      <c r="AB114" s="5"/>
      <c r="AC114" s="5"/>
      <c r="AD114" s="5"/>
      <c r="AE114" s="5"/>
      <c r="AF114" s="5"/>
      <c r="AG114" s="5"/>
      <c r="AH114" s="5"/>
      <c r="AI114" s="5"/>
      <c r="AJ114" s="5"/>
      <c r="AK114" s="5"/>
    </row>
    <row r="115" spans="1:37" ht="15" customHeight="1" hidden="1">
      <c r="A115" s="70">
        <v>531</v>
      </c>
      <c r="B115" s="70" t="s">
        <v>185</v>
      </c>
      <c r="C115" s="45">
        <v>0</v>
      </c>
      <c r="D115" s="42">
        <v>0</v>
      </c>
      <c r="E115" s="252"/>
      <c r="F115" s="29" t="s">
        <v>596</v>
      </c>
      <c r="G115" s="36"/>
      <c r="H115" s="36"/>
      <c r="I115" s="36"/>
      <c r="J115" s="47">
        <v>0</v>
      </c>
      <c r="K115" s="37">
        <v>0</v>
      </c>
      <c r="L115" s="43">
        <v>0</v>
      </c>
      <c r="M115" s="43">
        <v>0</v>
      </c>
      <c r="N115" s="49">
        <v>0</v>
      </c>
      <c r="O115" s="137">
        <v>1640</v>
      </c>
      <c r="P115" s="137">
        <v>1</v>
      </c>
      <c r="Q115" s="182" t="s">
        <v>492</v>
      </c>
      <c r="R115" s="5">
        <v>0</v>
      </c>
      <c r="S115" s="149">
        <v>0</v>
      </c>
      <c r="T115" s="149">
        <v>0</v>
      </c>
      <c r="U115" s="150">
        <v>0</v>
      </c>
      <c r="V115" s="5" t="e">
        <v>#REF!</v>
      </c>
      <c r="W115" s="5" t="e">
        <v>#REF!</v>
      </c>
      <c r="X115" s="5"/>
      <c r="Y115" s="5"/>
      <c r="Z115" s="5"/>
      <c r="AA115" s="5"/>
      <c r="AB115" s="5"/>
      <c r="AC115" s="5"/>
      <c r="AD115" s="5"/>
      <c r="AE115" s="5"/>
      <c r="AF115" s="5"/>
      <c r="AG115" s="5"/>
      <c r="AH115" s="5"/>
      <c r="AI115" s="5"/>
      <c r="AJ115" s="5"/>
      <c r="AK115" s="5"/>
    </row>
    <row r="116" spans="1:37" ht="15" customHeight="1">
      <c r="A116" s="70">
        <v>536</v>
      </c>
      <c r="B116" s="70" t="s">
        <v>187</v>
      </c>
      <c r="C116" s="45">
        <v>450</v>
      </c>
      <c r="D116" s="42">
        <v>450</v>
      </c>
      <c r="E116" s="252"/>
      <c r="F116" s="29">
        <v>0</v>
      </c>
      <c r="G116" s="36"/>
      <c r="H116" s="36">
        <v>450</v>
      </c>
      <c r="I116" s="253" t="s">
        <v>752</v>
      </c>
      <c r="J116" s="47">
        <v>0</v>
      </c>
      <c r="K116" s="37">
        <v>0</v>
      </c>
      <c r="L116" s="43">
        <v>0</v>
      </c>
      <c r="M116" s="43">
        <v>0</v>
      </c>
      <c r="N116" s="49">
        <v>0</v>
      </c>
      <c r="O116" s="137">
        <v>1640</v>
      </c>
      <c r="P116" s="137">
        <v>1</v>
      </c>
      <c r="Q116" s="182" t="s">
        <v>492</v>
      </c>
      <c r="R116" s="5">
        <v>450</v>
      </c>
      <c r="S116" s="149">
        <v>450</v>
      </c>
      <c r="T116" s="149">
        <v>0</v>
      </c>
      <c r="U116" s="150">
        <v>0</v>
      </c>
      <c r="V116" s="5" t="e">
        <v>#REF!</v>
      </c>
      <c r="W116" s="5" t="e">
        <v>#REF!</v>
      </c>
      <c r="X116" s="5"/>
      <c r="Y116" s="5"/>
      <c r="Z116" s="5"/>
      <c r="AA116" s="5"/>
      <c r="AB116" s="5"/>
      <c r="AC116" s="5"/>
      <c r="AD116" s="5"/>
      <c r="AE116" s="5"/>
      <c r="AF116" s="5"/>
      <c r="AG116" s="5"/>
      <c r="AH116" s="5"/>
      <c r="AI116" s="5"/>
      <c r="AJ116" s="5"/>
      <c r="AK116" s="5"/>
    </row>
    <row r="117" spans="1:37" ht="15" customHeight="1">
      <c r="A117" s="70">
        <v>539</v>
      </c>
      <c r="B117" s="70" t="s">
        <v>188</v>
      </c>
      <c r="C117" s="45">
        <v>38500</v>
      </c>
      <c r="D117" s="42">
        <v>4723.53</v>
      </c>
      <c r="E117" s="252"/>
      <c r="F117" s="29">
        <v>0.8773109090909091</v>
      </c>
      <c r="G117" s="36"/>
      <c r="H117" s="36">
        <v>4723.53</v>
      </c>
      <c r="I117" s="253" t="s">
        <v>753</v>
      </c>
      <c r="J117" s="47">
        <v>0</v>
      </c>
      <c r="K117" s="37">
        <v>0</v>
      </c>
      <c r="L117" s="43">
        <v>0</v>
      </c>
      <c r="M117" s="43">
        <v>0</v>
      </c>
      <c r="N117" s="49">
        <v>0</v>
      </c>
      <c r="O117" s="137">
        <v>1650</v>
      </c>
      <c r="P117" s="137">
        <v>1</v>
      </c>
      <c r="Q117" s="182" t="s">
        <v>492</v>
      </c>
      <c r="R117" s="5">
        <v>38500</v>
      </c>
      <c r="S117" s="149">
        <v>38500</v>
      </c>
      <c r="T117" s="149">
        <v>0</v>
      </c>
      <c r="U117" s="150">
        <v>0</v>
      </c>
      <c r="V117" s="5" t="e">
        <v>#REF!</v>
      </c>
      <c r="W117" s="5" t="e">
        <v>#REF!</v>
      </c>
      <c r="X117" s="5"/>
      <c r="Y117" s="5"/>
      <c r="Z117" s="5"/>
      <c r="AA117" s="5"/>
      <c r="AB117" s="5"/>
      <c r="AC117" s="5"/>
      <c r="AD117" s="5"/>
      <c r="AE117" s="5"/>
      <c r="AF117" s="5"/>
      <c r="AG117" s="5"/>
      <c r="AH117" s="5"/>
      <c r="AI117" s="5"/>
      <c r="AJ117" s="5"/>
      <c r="AK117" s="5"/>
    </row>
    <row r="118" spans="1:37" ht="15" customHeight="1" hidden="1">
      <c r="A118" s="70">
        <v>540</v>
      </c>
      <c r="B118" s="70" t="s">
        <v>189</v>
      </c>
      <c r="C118" s="45">
        <v>0</v>
      </c>
      <c r="D118" s="42">
        <v>0</v>
      </c>
      <c r="E118" s="252"/>
      <c r="F118" s="29" t="s">
        <v>596</v>
      </c>
      <c r="G118" s="36"/>
      <c r="H118" s="36"/>
      <c r="I118" s="36"/>
      <c r="J118" s="47">
        <v>0</v>
      </c>
      <c r="K118" s="37">
        <v>0</v>
      </c>
      <c r="L118" s="43">
        <v>0</v>
      </c>
      <c r="M118" s="43">
        <v>0</v>
      </c>
      <c r="N118" s="49">
        <v>0</v>
      </c>
      <c r="O118" s="137">
        <v>1810</v>
      </c>
      <c r="P118" s="137">
        <v>1</v>
      </c>
      <c r="Q118" s="182" t="s">
        <v>492</v>
      </c>
      <c r="R118" s="5">
        <v>0</v>
      </c>
      <c r="S118" s="149">
        <v>0</v>
      </c>
      <c r="T118" s="149">
        <v>0</v>
      </c>
      <c r="U118" s="150">
        <v>0</v>
      </c>
      <c r="V118" s="5" t="e">
        <v>#REF!</v>
      </c>
      <c r="W118" s="5" t="e">
        <v>#REF!</v>
      </c>
      <c r="X118" s="5"/>
      <c r="Y118" s="5"/>
      <c r="Z118" s="5"/>
      <c r="AA118" s="5"/>
      <c r="AB118" s="5"/>
      <c r="AC118" s="5"/>
      <c r="AD118" s="5"/>
      <c r="AE118" s="5"/>
      <c r="AF118" s="5"/>
      <c r="AG118" s="5"/>
      <c r="AH118" s="5"/>
      <c r="AI118" s="5"/>
      <c r="AJ118" s="5"/>
      <c r="AK118" s="5"/>
    </row>
    <row r="119" spans="1:37" ht="15" customHeight="1" hidden="1">
      <c r="A119" s="70">
        <v>541</v>
      </c>
      <c r="B119" s="70" t="s">
        <v>581</v>
      </c>
      <c r="C119" s="45">
        <v>0</v>
      </c>
      <c r="D119" s="42">
        <v>0</v>
      </c>
      <c r="E119" s="252"/>
      <c r="F119" s="29" t="s">
        <v>596</v>
      </c>
      <c r="G119" s="36"/>
      <c r="H119" s="36"/>
      <c r="I119" s="36"/>
      <c r="J119" s="47">
        <v>0</v>
      </c>
      <c r="K119" s="37">
        <v>0</v>
      </c>
      <c r="L119" s="43">
        <v>0</v>
      </c>
      <c r="M119" s="43">
        <v>0</v>
      </c>
      <c r="N119" s="49">
        <v>0</v>
      </c>
      <c r="O119" s="137">
        <v>1640</v>
      </c>
      <c r="P119" s="137">
        <v>1</v>
      </c>
      <c r="Q119" s="182" t="s">
        <v>492</v>
      </c>
      <c r="R119" s="5">
        <v>0</v>
      </c>
      <c r="S119" s="149">
        <v>0</v>
      </c>
      <c r="T119" s="149">
        <v>0</v>
      </c>
      <c r="U119" s="150">
        <v>0</v>
      </c>
      <c r="V119" s="5" t="e">
        <v>#REF!</v>
      </c>
      <c r="W119" s="5" t="e">
        <v>#REF!</v>
      </c>
      <c r="X119" s="5"/>
      <c r="Y119" s="5"/>
      <c r="Z119" s="5"/>
      <c r="AA119" s="5"/>
      <c r="AB119" s="5"/>
      <c r="AC119" s="5"/>
      <c r="AD119" s="5"/>
      <c r="AE119" s="5"/>
      <c r="AF119" s="5"/>
      <c r="AG119" s="5"/>
      <c r="AH119" s="5"/>
      <c r="AI119" s="5"/>
      <c r="AJ119" s="5"/>
      <c r="AK119" s="5"/>
    </row>
    <row r="120" spans="1:37" ht="15" customHeight="1" hidden="1">
      <c r="A120" s="70">
        <v>542</v>
      </c>
      <c r="B120" s="70" t="s">
        <v>193</v>
      </c>
      <c r="C120" s="45">
        <v>0</v>
      </c>
      <c r="D120" s="42">
        <v>0</v>
      </c>
      <c r="E120" s="252"/>
      <c r="F120" s="29" t="s">
        <v>596</v>
      </c>
      <c r="G120" s="36"/>
      <c r="H120" s="36"/>
      <c r="I120" s="36"/>
      <c r="J120" s="47">
        <v>0</v>
      </c>
      <c r="K120" s="37">
        <v>0</v>
      </c>
      <c r="L120" s="43">
        <v>0</v>
      </c>
      <c r="M120" s="43">
        <v>0</v>
      </c>
      <c r="N120" s="49">
        <v>0</v>
      </c>
      <c r="O120" s="137">
        <v>9900</v>
      </c>
      <c r="P120" s="137">
        <v>1</v>
      </c>
      <c r="Q120" s="182" t="s">
        <v>492</v>
      </c>
      <c r="R120" s="5">
        <v>0</v>
      </c>
      <c r="S120" s="149">
        <v>0</v>
      </c>
      <c r="T120" s="149">
        <v>0</v>
      </c>
      <c r="U120" s="150">
        <v>0</v>
      </c>
      <c r="V120" s="5" t="e">
        <v>#REF!</v>
      </c>
      <c r="W120" s="5" t="e">
        <v>#REF!</v>
      </c>
      <c r="X120" s="5"/>
      <c r="Y120" s="5"/>
      <c r="Z120" s="5"/>
      <c r="AA120" s="5"/>
      <c r="AB120" s="5"/>
      <c r="AC120" s="5"/>
      <c r="AD120" s="5"/>
      <c r="AE120" s="5"/>
      <c r="AF120" s="5"/>
      <c r="AG120" s="5"/>
      <c r="AH120" s="5"/>
      <c r="AI120" s="5"/>
      <c r="AJ120" s="5"/>
      <c r="AK120" s="5"/>
    </row>
    <row r="121" spans="1:37" ht="15" customHeight="1">
      <c r="A121" s="70">
        <v>544</v>
      </c>
      <c r="B121" s="70" t="s">
        <v>195</v>
      </c>
      <c r="C121" s="45">
        <v>1000</v>
      </c>
      <c r="D121" s="42">
        <v>-373.5</v>
      </c>
      <c r="E121" s="252"/>
      <c r="F121" s="29">
        <v>1.3735</v>
      </c>
      <c r="G121" s="36"/>
      <c r="H121" s="36"/>
      <c r="I121" s="253"/>
      <c r="J121" s="47">
        <v>0</v>
      </c>
      <c r="K121" s="37">
        <v>373.5</v>
      </c>
      <c r="L121" s="43">
        <v>0</v>
      </c>
      <c r="M121" s="43">
        <v>0</v>
      </c>
      <c r="N121" s="49">
        <v>-373.5</v>
      </c>
      <c r="O121" s="137">
        <v>1820</v>
      </c>
      <c r="P121" s="137">
        <v>1</v>
      </c>
      <c r="Q121" s="182" t="s">
        <v>492</v>
      </c>
      <c r="R121" s="5">
        <v>1000</v>
      </c>
      <c r="S121" s="149">
        <v>1000</v>
      </c>
      <c r="T121" s="149">
        <v>0</v>
      </c>
      <c r="U121" s="150">
        <v>0</v>
      </c>
      <c r="V121" s="5" t="e">
        <v>#REF!</v>
      </c>
      <c r="W121" s="5" t="e">
        <v>#REF!</v>
      </c>
      <c r="X121" s="5"/>
      <c r="Y121" s="5"/>
      <c r="Z121" s="5"/>
      <c r="AA121" s="5"/>
      <c r="AB121" s="5"/>
      <c r="AC121" s="5"/>
      <c r="AD121" s="5"/>
      <c r="AE121" s="5"/>
      <c r="AF121" s="5"/>
      <c r="AG121" s="5"/>
      <c r="AH121" s="5"/>
      <c r="AI121" s="5"/>
      <c r="AJ121" s="5"/>
      <c r="AK121" s="5"/>
    </row>
    <row r="122" spans="1:37" ht="15" customHeight="1">
      <c r="A122" s="70">
        <v>545</v>
      </c>
      <c r="B122" s="70" t="s">
        <v>196</v>
      </c>
      <c r="C122" s="45">
        <v>0</v>
      </c>
      <c r="D122" s="42">
        <v>38.13</v>
      </c>
      <c r="E122" s="252"/>
      <c r="F122" s="29" t="s">
        <v>596</v>
      </c>
      <c r="G122" s="36"/>
      <c r="H122" s="36">
        <v>38.13</v>
      </c>
      <c r="I122" s="36"/>
      <c r="J122" s="47">
        <v>0</v>
      </c>
      <c r="K122" s="37">
        <v>0</v>
      </c>
      <c r="L122" s="43">
        <v>0</v>
      </c>
      <c r="M122" s="43">
        <v>0</v>
      </c>
      <c r="N122" s="49">
        <v>0</v>
      </c>
      <c r="O122" s="137">
        <v>5300</v>
      </c>
      <c r="P122" s="137">
        <v>1</v>
      </c>
      <c r="Q122" s="182" t="s">
        <v>492</v>
      </c>
      <c r="R122" s="5">
        <v>0</v>
      </c>
      <c r="S122" s="149">
        <v>0</v>
      </c>
      <c r="T122" s="149">
        <v>0</v>
      </c>
      <c r="U122" s="150">
        <v>0</v>
      </c>
      <c r="V122" s="5" t="e">
        <v>#REF!</v>
      </c>
      <c r="W122" s="5" t="e">
        <v>#REF!</v>
      </c>
      <c r="X122" s="5"/>
      <c r="Y122" s="5"/>
      <c r="Z122" s="5"/>
      <c r="AA122" s="5"/>
      <c r="AB122" s="5"/>
      <c r="AC122" s="5"/>
      <c r="AD122" s="5"/>
      <c r="AE122" s="5"/>
      <c r="AF122" s="5"/>
      <c r="AG122" s="5"/>
      <c r="AH122" s="5"/>
      <c r="AI122" s="5"/>
      <c r="AJ122" s="5"/>
      <c r="AK122" s="5"/>
    </row>
    <row r="123" spans="1:37" ht="15" customHeight="1">
      <c r="A123" s="70">
        <v>548</v>
      </c>
      <c r="B123" s="70" t="s">
        <v>197</v>
      </c>
      <c r="C123" s="45">
        <v>90000</v>
      </c>
      <c r="D123" s="42">
        <v>54342.4</v>
      </c>
      <c r="E123" s="252"/>
      <c r="F123" s="29">
        <v>0.3961955555555555</v>
      </c>
      <c r="G123" s="36"/>
      <c r="H123" s="36">
        <v>54342.4</v>
      </c>
      <c r="I123" s="253"/>
      <c r="J123" s="47">
        <v>0</v>
      </c>
      <c r="K123" s="37">
        <v>0</v>
      </c>
      <c r="L123" s="43">
        <v>0</v>
      </c>
      <c r="M123" s="43">
        <v>0</v>
      </c>
      <c r="N123" s="49">
        <v>0</v>
      </c>
      <c r="O123" s="137">
        <v>2000</v>
      </c>
      <c r="P123" s="137">
        <v>1</v>
      </c>
      <c r="Q123" s="182" t="s">
        <v>492</v>
      </c>
      <c r="R123" s="5">
        <v>90000</v>
      </c>
      <c r="S123" s="149">
        <v>90000</v>
      </c>
      <c r="T123" s="149">
        <v>0</v>
      </c>
      <c r="U123" s="150">
        <v>0</v>
      </c>
      <c r="V123" s="5" t="e">
        <v>#REF!</v>
      </c>
      <c r="W123" s="5" t="e">
        <v>#REF!</v>
      </c>
      <c r="X123" s="5"/>
      <c r="Y123" s="5"/>
      <c r="Z123" s="5"/>
      <c r="AA123" s="5"/>
      <c r="AB123" s="5"/>
      <c r="AC123" s="5"/>
      <c r="AD123" s="5"/>
      <c r="AE123" s="5"/>
      <c r="AF123" s="5"/>
      <c r="AG123" s="5"/>
      <c r="AH123" s="5"/>
      <c r="AI123" s="5"/>
      <c r="AJ123" s="5"/>
      <c r="AK123" s="5"/>
    </row>
    <row r="124" spans="1:37" ht="15" customHeight="1">
      <c r="A124" s="70">
        <v>550</v>
      </c>
      <c r="B124" s="70" t="s">
        <v>642</v>
      </c>
      <c r="C124" s="45">
        <v>-2000</v>
      </c>
      <c r="D124" s="42">
        <v>-1715.51</v>
      </c>
      <c r="E124" s="252"/>
      <c r="F124" s="29">
        <v>0.142245</v>
      </c>
      <c r="G124" s="36">
        <v>1715.51</v>
      </c>
      <c r="H124" s="36"/>
      <c r="I124" s="36"/>
      <c r="J124" s="47">
        <v>0</v>
      </c>
      <c r="K124" s="37">
        <v>0</v>
      </c>
      <c r="L124" s="43">
        <v>0</v>
      </c>
      <c r="M124" s="43">
        <v>0</v>
      </c>
      <c r="N124" s="49">
        <v>0</v>
      </c>
      <c r="O124" s="137">
        <v>5300</v>
      </c>
      <c r="P124" s="137">
        <v>1</v>
      </c>
      <c r="Q124" s="182" t="s">
        <v>492</v>
      </c>
      <c r="R124" s="5">
        <v>-2000</v>
      </c>
      <c r="S124" s="149">
        <v>-2000</v>
      </c>
      <c r="T124" s="149">
        <v>0</v>
      </c>
      <c r="U124" s="150">
        <v>0</v>
      </c>
      <c r="V124" s="5" t="e">
        <v>#REF!</v>
      </c>
      <c r="W124" s="5" t="e">
        <v>#REF!</v>
      </c>
      <c r="X124" s="5"/>
      <c r="Y124" s="5"/>
      <c r="Z124" s="5"/>
      <c r="AA124" s="5"/>
      <c r="AB124" s="5"/>
      <c r="AC124" s="5"/>
      <c r="AD124" s="5"/>
      <c r="AE124" s="5"/>
      <c r="AF124" s="5"/>
      <c r="AG124" s="5"/>
      <c r="AH124" s="5"/>
      <c r="AI124" s="5"/>
      <c r="AJ124" s="5"/>
      <c r="AK124" s="5"/>
    </row>
    <row r="125" spans="1:37" ht="15" customHeight="1">
      <c r="A125" s="70">
        <v>552</v>
      </c>
      <c r="B125" s="70" t="s">
        <v>524</v>
      </c>
      <c r="C125" s="45">
        <v>857</v>
      </c>
      <c r="D125" s="42">
        <v>883.11</v>
      </c>
      <c r="E125" s="252"/>
      <c r="F125" s="29">
        <v>-0.030466744457409583</v>
      </c>
      <c r="G125" s="36"/>
      <c r="H125" s="36">
        <v>883.11</v>
      </c>
      <c r="I125" s="253"/>
      <c r="J125" s="47">
        <v>0</v>
      </c>
      <c r="K125" s="37">
        <v>0</v>
      </c>
      <c r="L125" s="43">
        <v>0</v>
      </c>
      <c r="M125" s="43">
        <v>0</v>
      </c>
      <c r="N125" s="49">
        <v>0</v>
      </c>
      <c r="O125" s="137">
        <v>5300</v>
      </c>
      <c r="P125" s="137">
        <v>1</v>
      </c>
      <c r="Q125" s="182" t="s">
        <v>492</v>
      </c>
      <c r="R125" s="5">
        <v>857</v>
      </c>
      <c r="S125" s="149">
        <v>857</v>
      </c>
      <c r="T125" s="149">
        <v>0</v>
      </c>
      <c r="U125" s="150">
        <v>0</v>
      </c>
      <c r="V125" s="5" t="e">
        <v>#REF!</v>
      </c>
      <c r="W125" s="5" t="e">
        <v>#REF!</v>
      </c>
      <c r="X125" s="5"/>
      <c r="Y125" s="5"/>
      <c r="Z125" s="5"/>
      <c r="AA125" s="5"/>
      <c r="AB125" s="5"/>
      <c r="AC125" s="5"/>
      <c r="AD125" s="5"/>
      <c r="AE125" s="5"/>
      <c r="AF125" s="5"/>
      <c r="AG125" s="5"/>
      <c r="AH125" s="5"/>
      <c r="AI125" s="5"/>
      <c r="AJ125" s="5"/>
      <c r="AK125" s="5"/>
    </row>
    <row r="126" spans="1:37" ht="15" customHeight="1">
      <c r="A126" s="70">
        <v>557</v>
      </c>
      <c r="B126" s="70" t="s">
        <v>582</v>
      </c>
      <c r="C126" s="45">
        <v>0</v>
      </c>
      <c r="D126" s="42">
        <v>-10.54</v>
      </c>
      <c r="E126" s="252"/>
      <c r="F126" s="29" t="s">
        <v>596</v>
      </c>
      <c r="G126" s="36"/>
      <c r="H126" s="36"/>
      <c r="I126" s="36"/>
      <c r="J126" s="47">
        <v>0</v>
      </c>
      <c r="K126" s="37">
        <v>10.54</v>
      </c>
      <c r="L126" s="43">
        <v>0</v>
      </c>
      <c r="M126" s="43">
        <v>0</v>
      </c>
      <c r="N126" s="49">
        <v>-10.54</v>
      </c>
      <c r="O126" s="137">
        <v>1640</v>
      </c>
      <c r="P126" s="137">
        <v>1</v>
      </c>
      <c r="Q126" s="182" t="s">
        <v>492</v>
      </c>
      <c r="R126" s="5">
        <v>0</v>
      </c>
      <c r="S126" s="149">
        <v>0</v>
      </c>
      <c r="T126" s="149">
        <v>0</v>
      </c>
      <c r="U126" s="150">
        <v>0</v>
      </c>
      <c r="V126" s="5" t="e">
        <v>#REF!</v>
      </c>
      <c r="W126" s="5" t="e">
        <v>#REF!</v>
      </c>
      <c r="X126" s="5"/>
      <c r="Y126" s="5"/>
      <c r="Z126" s="5"/>
      <c r="AA126" s="5"/>
      <c r="AB126" s="5"/>
      <c r="AC126" s="5"/>
      <c r="AD126" s="5"/>
      <c r="AE126" s="5"/>
      <c r="AF126" s="5"/>
      <c r="AG126" s="5"/>
      <c r="AH126" s="5"/>
      <c r="AI126" s="5"/>
      <c r="AJ126" s="5"/>
      <c r="AK126" s="5"/>
    </row>
    <row r="127" spans="1:37" ht="15" customHeight="1">
      <c r="A127" s="70">
        <v>560</v>
      </c>
      <c r="B127" s="70" t="s">
        <v>203</v>
      </c>
      <c r="C127" s="45">
        <v>2500</v>
      </c>
      <c r="D127" s="42">
        <v>2500</v>
      </c>
      <c r="E127" s="252"/>
      <c r="F127" s="29">
        <v>0</v>
      </c>
      <c r="G127" s="36"/>
      <c r="H127" s="36">
        <v>2500</v>
      </c>
      <c r="I127" s="253"/>
      <c r="J127" s="47">
        <v>0</v>
      </c>
      <c r="K127" s="37">
        <v>0</v>
      </c>
      <c r="L127" s="43">
        <v>0</v>
      </c>
      <c r="M127" s="43">
        <v>0</v>
      </c>
      <c r="N127" s="49">
        <v>0</v>
      </c>
      <c r="O127" s="137">
        <v>1800</v>
      </c>
      <c r="P127" s="137">
        <v>1</v>
      </c>
      <c r="Q127" s="182" t="s">
        <v>492</v>
      </c>
      <c r="R127" s="5">
        <v>2500</v>
      </c>
      <c r="S127" s="149">
        <v>2500</v>
      </c>
      <c r="T127" s="149">
        <v>0</v>
      </c>
      <c r="U127" s="150">
        <v>0</v>
      </c>
      <c r="V127" s="5" t="e">
        <v>#REF!</v>
      </c>
      <c r="W127" s="5" t="e">
        <v>#REF!</v>
      </c>
      <c r="X127" s="5"/>
      <c r="Y127" s="5"/>
      <c r="Z127" s="5"/>
      <c r="AA127" s="5"/>
      <c r="AB127" s="5"/>
      <c r="AC127" s="5"/>
      <c r="AD127" s="5"/>
      <c r="AE127" s="5"/>
      <c r="AF127" s="5"/>
      <c r="AG127" s="5"/>
      <c r="AH127" s="5"/>
      <c r="AI127" s="5"/>
      <c r="AJ127" s="5"/>
      <c r="AK127" s="5"/>
    </row>
    <row r="128" spans="1:37" ht="15" customHeight="1">
      <c r="A128" s="70">
        <v>564</v>
      </c>
      <c r="B128" s="70" t="s">
        <v>205</v>
      </c>
      <c r="C128" s="45">
        <v>31500</v>
      </c>
      <c r="D128" s="42">
        <v>27594</v>
      </c>
      <c r="E128" s="252"/>
      <c r="F128" s="29">
        <v>0.124</v>
      </c>
      <c r="G128" s="36"/>
      <c r="H128" s="36">
        <v>27594</v>
      </c>
      <c r="I128" s="253"/>
      <c r="J128" s="47">
        <v>0</v>
      </c>
      <c r="K128" s="37">
        <v>0</v>
      </c>
      <c r="L128" s="43">
        <v>0</v>
      </c>
      <c r="M128" s="43">
        <v>0</v>
      </c>
      <c r="N128" s="49">
        <v>0</v>
      </c>
      <c r="O128" s="137">
        <v>1640</v>
      </c>
      <c r="P128" s="137">
        <v>1</v>
      </c>
      <c r="Q128" s="182" t="s">
        <v>492</v>
      </c>
      <c r="R128" s="5">
        <v>31500</v>
      </c>
      <c r="S128" s="149">
        <v>31500</v>
      </c>
      <c r="T128" s="149">
        <v>0</v>
      </c>
      <c r="U128" s="150">
        <v>0</v>
      </c>
      <c r="V128" s="5" t="e">
        <v>#REF!</v>
      </c>
      <c r="W128" s="5" t="e">
        <v>#REF!</v>
      </c>
      <c r="X128" s="5"/>
      <c r="Y128" s="5"/>
      <c r="Z128" s="5"/>
      <c r="AA128" s="5"/>
      <c r="AB128" s="5"/>
      <c r="AC128" s="5"/>
      <c r="AD128" s="5"/>
      <c r="AE128" s="5"/>
      <c r="AF128" s="5"/>
      <c r="AG128" s="5"/>
      <c r="AH128" s="5"/>
      <c r="AI128" s="5"/>
      <c r="AJ128" s="5"/>
      <c r="AK128" s="5"/>
    </row>
    <row r="129" spans="1:37" ht="15" customHeight="1">
      <c r="A129" s="70">
        <v>565</v>
      </c>
      <c r="B129" s="70" t="s">
        <v>206</v>
      </c>
      <c r="C129" s="45">
        <v>8500</v>
      </c>
      <c r="D129" s="42">
        <v>6739.87</v>
      </c>
      <c r="E129" s="252"/>
      <c r="F129" s="29">
        <v>0.20707411764705883</v>
      </c>
      <c r="G129" s="36"/>
      <c r="H129" s="36">
        <v>6739.87</v>
      </c>
      <c r="I129" s="253"/>
      <c r="J129" s="47">
        <v>0</v>
      </c>
      <c r="K129" s="37">
        <v>0</v>
      </c>
      <c r="L129" s="43">
        <v>0</v>
      </c>
      <c r="M129" s="43">
        <v>0</v>
      </c>
      <c r="N129" s="49">
        <v>0</v>
      </c>
      <c r="O129" s="137">
        <v>2200</v>
      </c>
      <c r="P129" s="137">
        <v>1</v>
      </c>
      <c r="Q129" s="182" t="s">
        <v>492</v>
      </c>
      <c r="R129" s="5">
        <v>8500</v>
      </c>
      <c r="S129" s="149">
        <v>8500</v>
      </c>
      <c r="T129" s="149">
        <v>0</v>
      </c>
      <c r="U129" s="150">
        <v>0</v>
      </c>
      <c r="V129" s="5" t="e">
        <v>#REF!</v>
      </c>
      <c r="W129" s="5" t="e">
        <v>#REF!</v>
      </c>
      <c r="X129" s="5"/>
      <c r="Y129" s="5"/>
      <c r="Z129" s="5"/>
      <c r="AA129" s="5"/>
      <c r="AB129" s="5"/>
      <c r="AC129" s="5"/>
      <c r="AD129" s="5"/>
      <c r="AE129" s="5"/>
      <c r="AF129" s="5"/>
      <c r="AG129" s="5"/>
      <c r="AH129" s="5"/>
      <c r="AI129" s="5"/>
      <c r="AJ129" s="5"/>
      <c r="AK129" s="5"/>
    </row>
    <row r="130" spans="1:37" ht="15" customHeight="1" hidden="1">
      <c r="A130" s="70">
        <v>576</v>
      </c>
      <c r="B130" s="70" t="s">
        <v>211</v>
      </c>
      <c r="C130" s="45">
        <v>200</v>
      </c>
      <c r="D130" s="42">
        <v>183.2</v>
      </c>
      <c r="E130" s="252"/>
      <c r="F130" s="29">
        <v>0.08400000000000006</v>
      </c>
      <c r="G130" s="36"/>
      <c r="H130" s="36">
        <v>183.2</v>
      </c>
      <c r="I130" s="36"/>
      <c r="J130" s="47">
        <v>0</v>
      </c>
      <c r="K130" s="37">
        <v>0</v>
      </c>
      <c r="L130" s="43">
        <v>0</v>
      </c>
      <c r="M130" s="43">
        <v>0</v>
      </c>
      <c r="N130" s="49">
        <v>0</v>
      </c>
      <c r="O130" s="137">
        <v>1600</v>
      </c>
      <c r="P130" s="137">
        <v>1</v>
      </c>
      <c r="Q130" s="182" t="s">
        <v>492</v>
      </c>
      <c r="R130" s="5">
        <v>200</v>
      </c>
      <c r="S130" s="149">
        <v>200</v>
      </c>
      <c r="T130" s="149">
        <v>0</v>
      </c>
      <c r="U130" s="150">
        <v>0</v>
      </c>
      <c r="V130" s="5" t="e">
        <v>#REF!</v>
      </c>
      <c r="W130" s="5" t="e">
        <v>#REF!</v>
      </c>
      <c r="X130" s="5"/>
      <c r="Y130" s="5"/>
      <c r="Z130" s="5"/>
      <c r="AA130" s="5"/>
      <c r="AB130" s="5"/>
      <c r="AC130" s="5"/>
      <c r="AD130" s="5"/>
      <c r="AE130" s="5"/>
      <c r="AF130" s="5"/>
      <c r="AG130" s="5"/>
      <c r="AH130" s="5"/>
      <c r="AI130" s="5"/>
      <c r="AJ130" s="5"/>
      <c r="AK130" s="5"/>
    </row>
    <row r="131" spans="1:37" ht="15" customHeight="1">
      <c r="A131" s="70">
        <v>601</v>
      </c>
      <c r="B131" s="70" t="s">
        <v>568</v>
      </c>
      <c r="C131" s="45">
        <v>2500</v>
      </c>
      <c r="D131" s="42">
        <v>2058.52</v>
      </c>
      <c r="E131" s="252"/>
      <c r="F131" s="29">
        <v>0.176592</v>
      </c>
      <c r="G131" s="36"/>
      <c r="H131" s="36">
        <v>2058.52</v>
      </c>
      <c r="I131" s="253"/>
      <c r="J131" s="47">
        <v>0</v>
      </c>
      <c r="K131" s="37">
        <v>0</v>
      </c>
      <c r="L131" s="43">
        <v>0</v>
      </c>
      <c r="M131" s="43">
        <v>0</v>
      </c>
      <c r="N131" s="49">
        <v>0</v>
      </c>
      <c r="O131" s="137">
        <v>1825</v>
      </c>
      <c r="P131" s="137">
        <v>1</v>
      </c>
      <c r="Q131" s="182" t="s">
        <v>492</v>
      </c>
      <c r="R131" s="5">
        <v>2500</v>
      </c>
      <c r="S131" s="149">
        <v>2500</v>
      </c>
      <c r="T131" s="149">
        <v>0</v>
      </c>
      <c r="U131" s="150">
        <v>0</v>
      </c>
      <c r="V131" s="5" t="e">
        <v>#REF!</v>
      </c>
      <c r="W131" s="5" t="e">
        <v>#REF!</v>
      </c>
      <c r="X131" s="5"/>
      <c r="Y131" s="5"/>
      <c r="Z131" s="5"/>
      <c r="AA131" s="5"/>
      <c r="AB131" s="5"/>
      <c r="AC131" s="5"/>
      <c r="AD131" s="5"/>
      <c r="AE131" s="5"/>
      <c r="AF131" s="5"/>
      <c r="AG131" s="5"/>
      <c r="AH131" s="5"/>
      <c r="AI131" s="5"/>
      <c r="AJ131" s="5"/>
      <c r="AK131" s="5"/>
    </row>
    <row r="132" spans="1:37" ht="15" customHeight="1">
      <c r="A132" s="70">
        <v>602</v>
      </c>
      <c r="B132" s="70" t="s">
        <v>215</v>
      </c>
      <c r="C132" s="45">
        <v>125000</v>
      </c>
      <c r="D132" s="42">
        <v>404.12</v>
      </c>
      <c r="E132" s="252"/>
      <c r="F132" s="29">
        <v>0.99676704</v>
      </c>
      <c r="G132" s="36"/>
      <c r="H132" s="36">
        <v>404.12</v>
      </c>
      <c r="I132" s="253"/>
      <c r="J132" s="47">
        <v>0</v>
      </c>
      <c r="K132" s="37">
        <v>0</v>
      </c>
      <c r="L132" s="43">
        <v>0</v>
      </c>
      <c r="M132" s="43">
        <v>0</v>
      </c>
      <c r="N132" s="49">
        <v>0</v>
      </c>
      <c r="O132" s="137">
        <v>1500</v>
      </c>
      <c r="P132" s="137">
        <v>1</v>
      </c>
      <c r="Q132" s="182" t="s">
        <v>492</v>
      </c>
      <c r="R132" s="5">
        <v>125000</v>
      </c>
      <c r="S132" s="149">
        <v>125000</v>
      </c>
      <c r="T132" s="149">
        <v>0</v>
      </c>
      <c r="U132" s="150">
        <v>0</v>
      </c>
      <c r="V132" s="5" t="e">
        <v>#REF!</v>
      </c>
      <c r="W132" s="5" t="e">
        <v>#REF!</v>
      </c>
      <c r="X132" s="5"/>
      <c r="Y132" s="5"/>
      <c r="Z132" s="5"/>
      <c r="AA132" s="5"/>
      <c r="AB132" s="5"/>
      <c r="AC132" s="5"/>
      <c r="AD132" s="5"/>
      <c r="AE132" s="5"/>
      <c r="AF132" s="5"/>
      <c r="AG132" s="5"/>
      <c r="AH132" s="5"/>
      <c r="AI132" s="5"/>
      <c r="AJ132" s="5"/>
      <c r="AK132" s="5"/>
    </row>
    <row r="133" spans="1:37" ht="15" customHeight="1">
      <c r="A133" s="70">
        <v>603</v>
      </c>
      <c r="B133" s="70" t="s">
        <v>699</v>
      </c>
      <c r="C133" s="45">
        <v>54530</v>
      </c>
      <c r="D133" s="42">
        <v>52530</v>
      </c>
      <c r="E133" s="252"/>
      <c r="F133" s="29">
        <v>0.03667705849990831</v>
      </c>
      <c r="G133" s="36"/>
      <c r="H133" s="36">
        <v>52530</v>
      </c>
      <c r="I133" s="253"/>
      <c r="J133" s="47">
        <v>0</v>
      </c>
      <c r="K133" s="37">
        <v>0</v>
      </c>
      <c r="L133" s="43">
        <v>0</v>
      </c>
      <c r="M133" s="43">
        <v>0</v>
      </c>
      <c r="N133" s="49">
        <v>0</v>
      </c>
      <c r="O133" s="137">
        <v>9900</v>
      </c>
      <c r="P133" s="137">
        <v>0</v>
      </c>
      <c r="Q133" s="182" t="s">
        <v>737</v>
      </c>
      <c r="R133" s="5">
        <v>54530</v>
      </c>
      <c r="S133" s="149">
        <v>54530</v>
      </c>
      <c r="T133" s="149">
        <v>0</v>
      </c>
      <c r="U133" s="150">
        <v>0</v>
      </c>
      <c r="V133" s="5" t="e">
        <v>#REF!</v>
      </c>
      <c r="W133" s="5" t="e">
        <v>#REF!</v>
      </c>
      <c r="X133" s="5"/>
      <c r="Y133" s="5"/>
      <c r="Z133" s="5"/>
      <c r="AA133" s="5"/>
      <c r="AB133" s="5"/>
      <c r="AC133" s="5"/>
      <c r="AD133" s="5"/>
      <c r="AE133" s="5"/>
      <c r="AF133" s="5"/>
      <c r="AG133" s="5"/>
      <c r="AH133" s="5"/>
      <c r="AI133" s="5"/>
      <c r="AJ133" s="5"/>
      <c r="AK133" s="5"/>
    </row>
    <row r="134" spans="1:37" ht="15" customHeight="1" hidden="1">
      <c r="A134" s="70">
        <v>604</v>
      </c>
      <c r="B134" s="70" t="s">
        <v>216</v>
      </c>
      <c r="C134" s="45">
        <v>1000</v>
      </c>
      <c r="D134" s="42">
        <v>1000</v>
      </c>
      <c r="E134" s="252"/>
      <c r="F134" s="29">
        <v>0</v>
      </c>
      <c r="G134" s="36"/>
      <c r="H134" s="36">
        <v>1000</v>
      </c>
      <c r="I134" s="36"/>
      <c r="J134" s="47">
        <v>0</v>
      </c>
      <c r="K134" s="37">
        <v>0</v>
      </c>
      <c r="L134" s="43">
        <v>0</v>
      </c>
      <c r="M134" s="43">
        <v>0</v>
      </c>
      <c r="N134" s="49">
        <v>0</v>
      </c>
      <c r="O134" s="137">
        <v>1900</v>
      </c>
      <c r="P134" s="137">
        <v>1</v>
      </c>
      <c r="Q134" s="182" t="s">
        <v>492</v>
      </c>
      <c r="R134" s="5">
        <v>1000</v>
      </c>
      <c r="S134" s="149">
        <v>1000</v>
      </c>
      <c r="T134" s="149">
        <v>0</v>
      </c>
      <c r="U134" s="150">
        <v>0</v>
      </c>
      <c r="V134" s="5" t="e">
        <v>#REF!</v>
      </c>
      <c r="W134" s="5" t="e">
        <v>#REF!</v>
      </c>
      <c r="X134" s="5"/>
      <c r="Y134" s="5"/>
      <c r="Z134" s="5"/>
      <c r="AA134" s="5"/>
      <c r="AB134" s="5"/>
      <c r="AC134" s="5"/>
      <c r="AD134" s="5"/>
      <c r="AE134" s="5"/>
      <c r="AF134" s="5"/>
      <c r="AG134" s="5"/>
      <c r="AH134" s="5"/>
      <c r="AI134" s="5"/>
      <c r="AJ134" s="5"/>
      <c r="AK134" s="5"/>
    </row>
    <row r="135" spans="1:37" ht="15" customHeight="1">
      <c r="A135" s="70">
        <v>605</v>
      </c>
      <c r="B135" s="70" t="s">
        <v>217</v>
      </c>
      <c r="C135" s="45">
        <v>65000</v>
      </c>
      <c r="D135" s="42">
        <v>44438.3</v>
      </c>
      <c r="E135" s="252"/>
      <c r="F135" s="29">
        <v>0.31633384615384613</v>
      </c>
      <c r="G135" s="36"/>
      <c r="H135" s="36">
        <v>44438.3</v>
      </c>
      <c r="I135" s="253"/>
      <c r="J135" s="47">
        <v>0</v>
      </c>
      <c r="K135" s="37">
        <v>0</v>
      </c>
      <c r="L135" s="43">
        <v>0</v>
      </c>
      <c r="M135" s="43">
        <v>0</v>
      </c>
      <c r="N135" s="49">
        <v>0</v>
      </c>
      <c r="O135" s="137">
        <v>1410</v>
      </c>
      <c r="P135" s="137">
        <v>1</v>
      </c>
      <c r="Q135" s="182" t="s">
        <v>492</v>
      </c>
      <c r="R135" s="5">
        <v>65000</v>
      </c>
      <c r="S135" s="149">
        <v>65000</v>
      </c>
      <c r="T135" s="149">
        <v>0</v>
      </c>
      <c r="U135" s="150">
        <v>0</v>
      </c>
      <c r="V135" s="5" t="e">
        <v>#REF!</v>
      </c>
      <c r="W135" s="5" t="e">
        <v>#REF!</v>
      </c>
      <c r="X135" s="5"/>
      <c r="Y135" s="5"/>
      <c r="Z135" s="5"/>
      <c r="AA135" s="5"/>
      <c r="AB135" s="5"/>
      <c r="AC135" s="5"/>
      <c r="AD135" s="5"/>
      <c r="AE135" s="5"/>
      <c r="AF135" s="5"/>
      <c r="AG135" s="5"/>
      <c r="AH135" s="5"/>
      <c r="AI135" s="5"/>
      <c r="AJ135" s="5"/>
      <c r="AK135" s="5"/>
    </row>
    <row r="136" spans="1:37" ht="15" customHeight="1">
      <c r="A136" s="70">
        <v>606</v>
      </c>
      <c r="B136" s="70" t="s">
        <v>218</v>
      </c>
      <c r="C136" s="45">
        <v>16000</v>
      </c>
      <c r="D136" s="42">
        <v>663.75</v>
      </c>
      <c r="E136" s="252"/>
      <c r="F136" s="29">
        <v>0.958515625</v>
      </c>
      <c r="G136" s="36"/>
      <c r="H136" s="36">
        <v>663.75</v>
      </c>
      <c r="I136" s="253"/>
      <c r="J136" s="47">
        <v>0</v>
      </c>
      <c r="K136" s="37">
        <v>0</v>
      </c>
      <c r="L136" s="43">
        <v>0</v>
      </c>
      <c r="M136" s="43">
        <v>0</v>
      </c>
      <c r="N136" s="49">
        <v>0</v>
      </c>
      <c r="O136" s="137">
        <v>1420</v>
      </c>
      <c r="P136" s="137">
        <v>1</v>
      </c>
      <c r="Q136" s="182" t="s">
        <v>492</v>
      </c>
      <c r="R136" s="5">
        <v>16000</v>
      </c>
      <c r="S136" s="149">
        <v>16000</v>
      </c>
      <c r="T136" s="149">
        <v>0</v>
      </c>
      <c r="U136" s="150">
        <v>0</v>
      </c>
      <c r="V136" s="5" t="e">
        <v>#REF!</v>
      </c>
      <c r="W136" s="5" t="e">
        <v>#REF!</v>
      </c>
      <c r="X136" s="5"/>
      <c r="Y136" s="5"/>
      <c r="Z136" s="5"/>
      <c r="AA136" s="5"/>
      <c r="AB136" s="5"/>
      <c r="AC136" s="5"/>
      <c r="AD136" s="5"/>
      <c r="AE136" s="5"/>
      <c r="AF136" s="5"/>
      <c r="AG136" s="5"/>
      <c r="AH136" s="5"/>
      <c r="AI136" s="5"/>
      <c r="AJ136" s="5"/>
      <c r="AK136" s="5"/>
    </row>
    <row r="137" spans="1:37" ht="15" customHeight="1">
      <c r="A137" s="70">
        <v>607</v>
      </c>
      <c r="B137" s="70" t="s">
        <v>219</v>
      </c>
      <c r="C137" s="45">
        <v>52000</v>
      </c>
      <c r="D137" s="42">
        <v>27459</v>
      </c>
      <c r="E137" s="252"/>
      <c r="F137" s="29">
        <v>0.4719423076923077</v>
      </c>
      <c r="G137" s="36"/>
      <c r="H137" s="36">
        <v>27459</v>
      </c>
      <c r="I137" s="253"/>
      <c r="J137" s="47">
        <v>0</v>
      </c>
      <c r="K137" s="37">
        <v>0</v>
      </c>
      <c r="L137" s="43">
        <v>0</v>
      </c>
      <c r="M137" s="43">
        <v>0</v>
      </c>
      <c r="N137" s="49">
        <v>0</v>
      </c>
      <c r="O137" s="137">
        <v>1540</v>
      </c>
      <c r="P137" s="137">
        <v>1</v>
      </c>
      <c r="Q137" s="182" t="s">
        <v>492</v>
      </c>
      <c r="R137" s="5">
        <v>52000</v>
      </c>
      <c r="S137" s="149">
        <v>52000</v>
      </c>
      <c r="T137" s="149">
        <v>0</v>
      </c>
      <c r="U137" s="150">
        <v>0</v>
      </c>
      <c r="V137" s="5" t="e">
        <v>#REF!</v>
      </c>
      <c r="W137" s="5" t="e">
        <v>#REF!</v>
      </c>
      <c r="X137" s="5"/>
      <c r="Y137" s="5"/>
      <c r="Z137" s="5"/>
      <c r="AA137" s="5"/>
      <c r="AB137" s="5"/>
      <c r="AC137" s="5"/>
      <c r="AD137" s="5"/>
      <c r="AE137" s="5"/>
      <c r="AF137" s="5"/>
      <c r="AG137" s="5"/>
      <c r="AH137" s="5"/>
      <c r="AI137" s="5"/>
      <c r="AJ137" s="5"/>
      <c r="AK137" s="5"/>
    </row>
    <row r="138" spans="1:37" ht="15" customHeight="1" hidden="1">
      <c r="A138" s="70">
        <v>608</v>
      </c>
      <c r="B138" s="70" t="s">
        <v>220</v>
      </c>
      <c r="C138" s="45">
        <v>34500</v>
      </c>
      <c r="D138" s="42">
        <v>13937.79</v>
      </c>
      <c r="E138" s="252"/>
      <c r="F138" s="29">
        <v>0.5960060869565217</v>
      </c>
      <c r="G138" s="36"/>
      <c r="H138" s="36">
        <v>13937.79</v>
      </c>
      <c r="I138" s="36"/>
      <c r="J138" s="47">
        <v>0</v>
      </c>
      <c r="K138" s="37">
        <v>0</v>
      </c>
      <c r="L138" s="43">
        <v>0</v>
      </c>
      <c r="M138" s="43">
        <v>0</v>
      </c>
      <c r="N138" s="49">
        <v>0</v>
      </c>
      <c r="O138" s="137">
        <v>1530</v>
      </c>
      <c r="P138" s="137">
        <v>1</v>
      </c>
      <c r="Q138" s="182" t="s">
        <v>492</v>
      </c>
      <c r="R138" s="5">
        <v>34500</v>
      </c>
      <c r="S138" s="149">
        <v>34500</v>
      </c>
      <c r="T138" s="149">
        <v>0</v>
      </c>
      <c r="U138" s="150">
        <v>0</v>
      </c>
      <c r="V138" s="5" t="e">
        <v>#REF!</v>
      </c>
      <c r="W138" s="5" t="e">
        <v>#REF!</v>
      </c>
      <c r="X138" s="5"/>
      <c r="Y138" s="5"/>
      <c r="Z138" s="5"/>
      <c r="AA138" s="5"/>
      <c r="AB138" s="5"/>
      <c r="AC138" s="5"/>
      <c r="AD138" s="5"/>
      <c r="AE138" s="5"/>
      <c r="AF138" s="5"/>
      <c r="AG138" s="5"/>
      <c r="AH138" s="5"/>
      <c r="AI138" s="5"/>
      <c r="AJ138" s="5"/>
      <c r="AK138" s="5"/>
    </row>
    <row r="139" spans="1:37" ht="15" customHeight="1" hidden="1">
      <c r="A139" s="70">
        <v>609</v>
      </c>
      <c r="B139" s="70" t="s">
        <v>221</v>
      </c>
      <c r="C139" s="45">
        <v>-75000</v>
      </c>
      <c r="D139" s="42">
        <v>-51598</v>
      </c>
      <c r="E139" s="252"/>
      <c r="F139" s="29">
        <v>0.3120266666666667</v>
      </c>
      <c r="G139" s="36">
        <v>51598</v>
      </c>
      <c r="H139" s="36"/>
      <c r="I139" s="36"/>
      <c r="J139" s="47">
        <v>0</v>
      </c>
      <c r="K139" s="37">
        <v>0</v>
      </c>
      <c r="L139" s="43">
        <v>0</v>
      </c>
      <c r="M139" s="43">
        <v>0</v>
      </c>
      <c r="N139" s="49">
        <v>0</v>
      </c>
      <c r="O139" s="137">
        <v>5300</v>
      </c>
      <c r="P139" s="137">
        <v>1</v>
      </c>
      <c r="Q139" s="182" t="s">
        <v>492</v>
      </c>
      <c r="R139" s="5">
        <v>-75000</v>
      </c>
      <c r="S139" s="149">
        <v>-75000</v>
      </c>
      <c r="T139" s="149">
        <v>0</v>
      </c>
      <c r="U139" s="150">
        <v>0</v>
      </c>
      <c r="V139" s="5" t="e">
        <v>#REF!</v>
      </c>
      <c r="W139" s="5" t="e">
        <v>#REF!</v>
      </c>
      <c r="X139" s="5"/>
      <c r="Y139" s="5"/>
      <c r="Z139" s="5"/>
      <c r="AA139" s="5"/>
      <c r="AB139" s="5"/>
      <c r="AC139" s="5"/>
      <c r="AD139" s="5"/>
      <c r="AE139" s="5"/>
      <c r="AF139" s="5"/>
      <c r="AG139" s="5"/>
      <c r="AH139" s="5"/>
      <c r="AI139" s="5"/>
      <c r="AJ139" s="5"/>
      <c r="AK139" s="5"/>
    </row>
    <row r="140" spans="1:37" ht="15" customHeight="1" hidden="1">
      <c r="A140" s="70">
        <v>611</v>
      </c>
      <c r="B140" s="70" t="s">
        <v>222</v>
      </c>
      <c r="C140" s="45">
        <v>8500</v>
      </c>
      <c r="D140" s="42">
        <v>1143.19</v>
      </c>
      <c r="E140" s="252"/>
      <c r="F140" s="29">
        <v>0.8655070588235294</v>
      </c>
      <c r="G140" s="36"/>
      <c r="H140" s="36">
        <v>1143.19</v>
      </c>
      <c r="I140" s="36"/>
      <c r="J140" s="47">
        <v>0</v>
      </c>
      <c r="K140" s="37">
        <v>0</v>
      </c>
      <c r="L140" s="43">
        <v>0</v>
      </c>
      <c r="M140" s="43">
        <v>0</v>
      </c>
      <c r="N140" s="49">
        <v>0</v>
      </c>
      <c r="O140" s="137">
        <v>1430</v>
      </c>
      <c r="P140" s="137">
        <v>1</v>
      </c>
      <c r="Q140" s="182" t="s">
        <v>492</v>
      </c>
      <c r="R140" s="5">
        <v>8500</v>
      </c>
      <c r="S140" s="149">
        <v>8500</v>
      </c>
      <c r="T140" s="149">
        <v>0</v>
      </c>
      <c r="U140" s="150">
        <v>0</v>
      </c>
      <c r="V140" s="5" t="e">
        <v>#REF!</v>
      </c>
      <c r="W140" s="5" t="e">
        <v>#REF!</v>
      </c>
      <c r="X140" s="5"/>
      <c r="Y140" s="5"/>
      <c r="Z140" s="5"/>
      <c r="AA140" s="5"/>
      <c r="AB140" s="5"/>
      <c r="AC140" s="5"/>
      <c r="AD140" s="5"/>
      <c r="AE140" s="5"/>
      <c r="AF140" s="5"/>
      <c r="AG140" s="5"/>
      <c r="AH140" s="5"/>
      <c r="AI140" s="5"/>
      <c r="AJ140" s="5"/>
      <c r="AK140" s="5"/>
    </row>
    <row r="141" spans="1:37" ht="15" customHeight="1" hidden="1">
      <c r="A141" s="70">
        <v>612</v>
      </c>
      <c r="B141" s="70" t="s">
        <v>223</v>
      </c>
      <c r="C141" s="45">
        <v>24000</v>
      </c>
      <c r="D141" s="42">
        <v>0</v>
      </c>
      <c r="E141" s="252"/>
      <c r="F141" s="29">
        <v>1</v>
      </c>
      <c r="G141" s="36"/>
      <c r="H141" s="36"/>
      <c r="I141" s="36"/>
      <c r="J141" s="47">
        <v>0</v>
      </c>
      <c r="K141" s="37">
        <v>0</v>
      </c>
      <c r="L141" s="43">
        <v>0</v>
      </c>
      <c r="M141" s="43">
        <v>0</v>
      </c>
      <c r="N141" s="49">
        <v>0</v>
      </c>
      <c r="O141" s="137">
        <v>1520</v>
      </c>
      <c r="P141" s="137">
        <v>1</v>
      </c>
      <c r="Q141" s="182" t="s">
        <v>492</v>
      </c>
      <c r="R141" s="5">
        <v>24000</v>
      </c>
      <c r="S141" s="149">
        <v>24000</v>
      </c>
      <c r="T141" s="149">
        <v>0</v>
      </c>
      <c r="U141" s="150">
        <v>0</v>
      </c>
      <c r="V141" s="5" t="e">
        <v>#REF!</v>
      </c>
      <c r="W141" s="5" t="e">
        <v>#REF!</v>
      </c>
      <c r="X141" s="5"/>
      <c r="Y141" s="5"/>
      <c r="Z141" s="5"/>
      <c r="AA141" s="5"/>
      <c r="AB141" s="5"/>
      <c r="AC141" s="5"/>
      <c r="AD141" s="5"/>
      <c r="AE141" s="5"/>
      <c r="AF141" s="5"/>
      <c r="AG141" s="5"/>
      <c r="AH141" s="5"/>
      <c r="AI141" s="5"/>
      <c r="AJ141" s="5"/>
      <c r="AK141" s="5"/>
    </row>
    <row r="142" spans="1:37" ht="15" customHeight="1">
      <c r="A142" s="70">
        <v>613</v>
      </c>
      <c r="B142" s="70" t="s">
        <v>224</v>
      </c>
      <c r="C142" s="45">
        <v>135000</v>
      </c>
      <c r="D142" s="42">
        <v>-1784.13</v>
      </c>
      <c r="E142" s="252"/>
      <c r="F142" s="29">
        <v>1.0132157777777777</v>
      </c>
      <c r="G142" s="36"/>
      <c r="H142" s="36"/>
      <c r="I142" s="253"/>
      <c r="J142" s="47">
        <v>0</v>
      </c>
      <c r="K142" s="37">
        <v>1784.13</v>
      </c>
      <c r="L142" s="43">
        <v>0</v>
      </c>
      <c r="M142" s="43">
        <v>0</v>
      </c>
      <c r="N142" s="49">
        <v>-1784.13</v>
      </c>
      <c r="O142" s="137">
        <v>1510</v>
      </c>
      <c r="P142" s="137">
        <v>1</v>
      </c>
      <c r="Q142" s="182" t="s">
        <v>492</v>
      </c>
      <c r="R142" s="5">
        <v>135000</v>
      </c>
      <c r="S142" s="149">
        <v>135000</v>
      </c>
      <c r="T142" s="149">
        <v>0</v>
      </c>
      <c r="U142" s="150">
        <v>0</v>
      </c>
      <c r="V142" s="5" t="e">
        <v>#REF!</v>
      </c>
      <c r="W142" s="5" t="e">
        <v>#REF!</v>
      </c>
      <c r="X142" s="5"/>
      <c r="Y142" s="5"/>
      <c r="Z142" s="5"/>
      <c r="AA142" s="5"/>
      <c r="AB142" s="5"/>
      <c r="AC142" s="5"/>
      <c r="AD142" s="5"/>
      <c r="AE142" s="5"/>
      <c r="AF142" s="5"/>
      <c r="AG142" s="5"/>
      <c r="AH142" s="5"/>
      <c r="AI142" s="5"/>
      <c r="AJ142" s="5"/>
      <c r="AK142" s="5"/>
    </row>
    <row r="143" spans="1:37" ht="15" customHeight="1">
      <c r="A143" s="70">
        <v>615</v>
      </c>
      <c r="B143" s="70" t="s">
        <v>226</v>
      </c>
      <c r="C143" s="45">
        <v>0</v>
      </c>
      <c r="D143" s="42">
        <v>0</v>
      </c>
      <c r="E143" s="252"/>
      <c r="F143" s="29" t="s">
        <v>596</v>
      </c>
      <c r="G143" s="36"/>
      <c r="H143" s="36"/>
      <c r="I143" s="253"/>
      <c r="J143" s="47">
        <v>0</v>
      </c>
      <c r="K143" s="37">
        <v>0</v>
      </c>
      <c r="L143" s="43">
        <v>0</v>
      </c>
      <c r="M143" s="43">
        <v>0</v>
      </c>
      <c r="N143" s="49">
        <v>0</v>
      </c>
      <c r="O143" s="137">
        <v>1540</v>
      </c>
      <c r="P143" s="137">
        <v>1</v>
      </c>
      <c r="Q143" s="182" t="s">
        <v>492</v>
      </c>
      <c r="R143" s="5">
        <v>0</v>
      </c>
      <c r="S143" s="149">
        <v>0</v>
      </c>
      <c r="T143" s="149">
        <v>0</v>
      </c>
      <c r="U143" s="150">
        <v>0</v>
      </c>
      <c r="V143" s="5" t="e">
        <v>#REF!</v>
      </c>
      <c r="W143" s="5" t="e">
        <v>#REF!</v>
      </c>
      <c r="X143" s="5"/>
      <c r="Y143" s="5"/>
      <c r="Z143" s="5"/>
      <c r="AA143" s="5"/>
      <c r="AB143" s="5"/>
      <c r="AC143" s="5"/>
      <c r="AD143" s="5"/>
      <c r="AE143" s="5"/>
      <c r="AF143" s="5"/>
      <c r="AG143" s="5"/>
      <c r="AH143" s="5"/>
      <c r="AI143" s="5"/>
      <c r="AJ143" s="5"/>
      <c r="AK143" s="5"/>
    </row>
    <row r="144" spans="1:37" ht="15" customHeight="1">
      <c r="A144" s="70" t="s">
        <v>227</v>
      </c>
      <c r="B144" s="70" t="s">
        <v>228</v>
      </c>
      <c r="C144" s="45">
        <v>0</v>
      </c>
      <c r="D144" s="42">
        <v>0</v>
      </c>
      <c r="E144" s="252"/>
      <c r="F144" s="29" t="s">
        <v>596</v>
      </c>
      <c r="G144" s="36"/>
      <c r="H144" s="36"/>
      <c r="I144" s="253"/>
      <c r="J144" s="47">
        <v>0</v>
      </c>
      <c r="K144" s="37">
        <v>0</v>
      </c>
      <c r="L144" s="43">
        <v>0</v>
      </c>
      <c r="M144" s="43">
        <v>0</v>
      </c>
      <c r="N144" s="49">
        <v>0</v>
      </c>
      <c r="O144" s="137">
        <v>1540</v>
      </c>
      <c r="P144" s="137">
        <v>1</v>
      </c>
      <c r="Q144" s="182" t="s">
        <v>492</v>
      </c>
      <c r="R144" s="5">
        <v>0</v>
      </c>
      <c r="S144" s="149">
        <v>0</v>
      </c>
      <c r="T144" s="149">
        <v>0</v>
      </c>
      <c r="U144" s="150">
        <v>0</v>
      </c>
      <c r="V144" s="5" t="e">
        <v>#REF!</v>
      </c>
      <c r="W144" s="5" t="e">
        <v>#REF!</v>
      </c>
      <c r="X144" s="5"/>
      <c r="Y144" s="5"/>
      <c r="Z144" s="5"/>
      <c r="AA144" s="5"/>
      <c r="AB144" s="5"/>
      <c r="AC144" s="5"/>
      <c r="AD144" s="5"/>
      <c r="AE144" s="5"/>
      <c r="AF144" s="5"/>
      <c r="AG144" s="5"/>
      <c r="AH144" s="5"/>
      <c r="AI144" s="5"/>
      <c r="AJ144" s="5"/>
      <c r="AK144" s="5"/>
    </row>
    <row r="145" spans="1:37" ht="15" customHeight="1">
      <c r="A145" s="70">
        <v>640</v>
      </c>
      <c r="B145" s="70" t="s">
        <v>229</v>
      </c>
      <c r="C145" s="45">
        <v>-35000</v>
      </c>
      <c r="D145" s="42">
        <v>-25961</v>
      </c>
      <c r="E145" s="252"/>
      <c r="F145" s="29">
        <v>0.25825714285714285</v>
      </c>
      <c r="G145" s="36">
        <v>25961</v>
      </c>
      <c r="H145" s="36"/>
      <c r="I145" s="253"/>
      <c r="J145" s="47">
        <v>0</v>
      </c>
      <c r="K145" s="37">
        <v>0</v>
      </c>
      <c r="L145" s="43">
        <v>0</v>
      </c>
      <c r="M145" s="43">
        <v>0</v>
      </c>
      <c r="N145" s="49">
        <v>0</v>
      </c>
      <c r="O145" s="137">
        <v>5300</v>
      </c>
      <c r="P145" s="137">
        <v>1</v>
      </c>
      <c r="Q145" s="182" t="s">
        <v>492</v>
      </c>
      <c r="R145" s="5">
        <v>-35000</v>
      </c>
      <c r="S145" s="149">
        <v>-35000</v>
      </c>
      <c r="T145" s="149">
        <v>0</v>
      </c>
      <c r="U145" s="150">
        <v>0</v>
      </c>
      <c r="V145" s="5" t="e">
        <v>#REF!</v>
      </c>
      <c r="W145" s="5" t="e">
        <v>#REF!</v>
      </c>
      <c r="X145" s="5"/>
      <c r="Y145" s="5"/>
      <c r="Z145" s="5"/>
      <c r="AA145" s="5"/>
      <c r="AB145" s="5"/>
      <c r="AC145" s="5"/>
      <c r="AD145" s="5"/>
      <c r="AE145" s="5"/>
      <c r="AF145" s="5"/>
      <c r="AG145" s="5"/>
      <c r="AH145" s="5"/>
      <c r="AI145" s="5"/>
      <c r="AJ145" s="5"/>
      <c r="AK145" s="5"/>
    </row>
    <row r="146" spans="1:37" ht="15" customHeight="1">
      <c r="A146" s="70" t="s">
        <v>230</v>
      </c>
      <c r="B146" s="70" t="s">
        <v>231</v>
      </c>
      <c r="C146" s="45">
        <v>13000</v>
      </c>
      <c r="D146" s="42">
        <v>22.05</v>
      </c>
      <c r="E146" s="252"/>
      <c r="F146" s="29">
        <v>0.9983038461538463</v>
      </c>
      <c r="G146" s="36"/>
      <c r="H146" s="36">
        <v>22.05</v>
      </c>
      <c r="I146" s="36"/>
      <c r="J146" s="47">
        <v>0</v>
      </c>
      <c r="K146" s="37">
        <v>0</v>
      </c>
      <c r="L146" s="43">
        <v>0</v>
      </c>
      <c r="M146" s="43">
        <v>216.68</v>
      </c>
      <c r="N146" s="49">
        <v>216.68</v>
      </c>
      <c r="O146" s="137">
        <v>3100</v>
      </c>
      <c r="P146" s="137">
        <v>1</v>
      </c>
      <c r="Q146" s="182" t="s">
        <v>492</v>
      </c>
      <c r="R146" s="5">
        <v>13000</v>
      </c>
      <c r="S146" s="149">
        <v>13216.68</v>
      </c>
      <c r="T146" s="149">
        <v>-216.6800000000003</v>
      </c>
      <c r="U146" s="150">
        <v>-2.8421709430404007E-13</v>
      </c>
      <c r="V146" s="5" t="e">
        <v>#REF!</v>
      </c>
      <c r="W146" s="5" t="e">
        <v>#REF!</v>
      </c>
      <c r="X146" s="5"/>
      <c r="Y146" s="5"/>
      <c r="Z146" s="5"/>
      <c r="AA146" s="5"/>
      <c r="AB146" s="5"/>
      <c r="AC146" s="5"/>
      <c r="AD146" s="5"/>
      <c r="AE146" s="5"/>
      <c r="AF146" s="5"/>
      <c r="AG146" s="5"/>
      <c r="AH146" s="5"/>
      <c r="AI146" s="5"/>
      <c r="AJ146" s="5"/>
      <c r="AK146" s="5"/>
    </row>
    <row r="147" spans="1:37" ht="15" customHeight="1" hidden="1">
      <c r="A147" s="70">
        <v>649</v>
      </c>
      <c r="B147" s="70" t="s">
        <v>232</v>
      </c>
      <c r="C147" s="45">
        <v>0</v>
      </c>
      <c r="D147" s="42">
        <v>0</v>
      </c>
      <c r="E147" s="252"/>
      <c r="F147" s="29" t="s">
        <v>596</v>
      </c>
      <c r="G147" s="36"/>
      <c r="H147" s="36"/>
      <c r="I147" s="36"/>
      <c r="J147" s="47">
        <v>0</v>
      </c>
      <c r="K147" s="37">
        <v>0</v>
      </c>
      <c r="L147" s="43">
        <v>0</v>
      </c>
      <c r="M147" s="43">
        <v>0</v>
      </c>
      <c r="N147" s="49">
        <v>0</v>
      </c>
      <c r="O147" s="137">
        <v>6200</v>
      </c>
      <c r="P147" s="137">
        <v>1</v>
      </c>
      <c r="Q147" s="182" t="s">
        <v>492</v>
      </c>
      <c r="R147" s="5">
        <v>0</v>
      </c>
      <c r="S147" s="149">
        <v>0</v>
      </c>
      <c r="T147" s="149">
        <v>0</v>
      </c>
      <c r="U147" s="150">
        <v>0</v>
      </c>
      <c r="V147" s="5" t="e">
        <v>#REF!</v>
      </c>
      <c r="W147" s="5" t="e">
        <v>#REF!</v>
      </c>
      <c r="X147" s="5"/>
      <c r="Y147" s="5"/>
      <c r="Z147" s="5"/>
      <c r="AA147" s="5"/>
      <c r="AB147" s="5"/>
      <c r="AC147" s="5"/>
      <c r="AD147" s="5"/>
      <c r="AE147" s="5"/>
      <c r="AF147" s="5"/>
      <c r="AG147" s="5"/>
      <c r="AH147" s="5"/>
      <c r="AI147" s="5"/>
      <c r="AJ147" s="5"/>
      <c r="AK147" s="5"/>
    </row>
    <row r="148" spans="1:37" ht="15" customHeight="1" hidden="1">
      <c r="A148" s="70">
        <v>650</v>
      </c>
      <c r="B148" s="70" t="s">
        <v>233</v>
      </c>
      <c r="C148" s="45">
        <v>0</v>
      </c>
      <c r="D148" s="42">
        <v>0</v>
      </c>
      <c r="E148" s="252"/>
      <c r="F148" s="29" t="s">
        <v>596</v>
      </c>
      <c r="G148" s="36"/>
      <c r="H148" s="36"/>
      <c r="I148" s="36"/>
      <c r="J148" s="47">
        <v>0</v>
      </c>
      <c r="K148" s="37">
        <v>0</v>
      </c>
      <c r="L148" s="43">
        <v>0</v>
      </c>
      <c r="M148" s="43">
        <v>0</v>
      </c>
      <c r="N148" s="49">
        <v>0</v>
      </c>
      <c r="O148" s="137">
        <v>9100</v>
      </c>
      <c r="P148" s="137">
        <v>1</v>
      </c>
      <c r="Q148" s="182" t="s">
        <v>492</v>
      </c>
      <c r="R148" s="5">
        <v>0</v>
      </c>
      <c r="S148" s="149">
        <v>0</v>
      </c>
      <c r="T148" s="149">
        <v>0</v>
      </c>
      <c r="U148" s="150">
        <v>0</v>
      </c>
      <c r="V148" s="5" t="e">
        <v>#REF!</v>
      </c>
      <c r="W148" s="5" t="e">
        <v>#REF!</v>
      </c>
      <c r="X148" s="5"/>
      <c r="Y148" s="5"/>
      <c r="Z148" s="5"/>
      <c r="AA148" s="5"/>
      <c r="AB148" s="5"/>
      <c r="AC148" s="5"/>
      <c r="AD148" s="5"/>
      <c r="AE148" s="5"/>
      <c r="AF148" s="5"/>
      <c r="AG148" s="5"/>
      <c r="AH148" s="5"/>
      <c r="AI148" s="5"/>
      <c r="AJ148" s="5"/>
      <c r="AK148" s="5"/>
    </row>
    <row r="149" spans="1:37" ht="15" customHeight="1">
      <c r="A149" s="70">
        <v>651</v>
      </c>
      <c r="B149" s="70" t="s">
        <v>525</v>
      </c>
      <c r="C149" s="45">
        <v>0</v>
      </c>
      <c r="D149" s="42">
        <v>0</v>
      </c>
      <c r="E149" s="252"/>
      <c r="F149" s="29" t="s">
        <v>596</v>
      </c>
      <c r="G149" s="36"/>
      <c r="H149" s="36"/>
      <c r="I149" s="253"/>
      <c r="J149" s="47">
        <v>0</v>
      </c>
      <c r="K149" s="37">
        <v>0</v>
      </c>
      <c r="L149" s="43">
        <v>0</v>
      </c>
      <c r="M149" s="43">
        <v>0</v>
      </c>
      <c r="N149" s="49">
        <v>0</v>
      </c>
      <c r="O149" s="137">
        <v>9100</v>
      </c>
      <c r="P149" s="137">
        <v>1</v>
      </c>
      <c r="Q149" s="182" t="s">
        <v>492</v>
      </c>
      <c r="R149" s="5">
        <v>0</v>
      </c>
      <c r="S149" s="149">
        <v>0</v>
      </c>
      <c r="T149" s="149">
        <v>0</v>
      </c>
      <c r="U149" s="150">
        <v>0</v>
      </c>
      <c r="V149" s="5" t="e">
        <v>#REF!</v>
      </c>
      <c r="W149" s="5" t="e">
        <v>#REF!</v>
      </c>
      <c r="X149" s="5"/>
      <c r="Y149" s="5"/>
      <c r="Z149" s="5"/>
      <c r="AA149" s="5"/>
      <c r="AB149" s="5"/>
      <c r="AC149" s="5"/>
      <c r="AD149" s="5"/>
      <c r="AE149" s="5"/>
      <c r="AF149" s="5"/>
      <c r="AG149" s="5"/>
      <c r="AH149" s="5"/>
      <c r="AI149" s="5"/>
      <c r="AJ149" s="5"/>
      <c r="AK149" s="5"/>
    </row>
    <row r="150" spans="1:37" ht="15" customHeight="1" hidden="1">
      <c r="A150" s="70">
        <v>654</v>
      </c>
      <c r="B150" s="70" t="s">
        <v>700</v>
      </c>
      <c r="C150" s="45">
        <v>789570</v>
      </c>
      <c r="D150" s="42">
        <v>724388.16</v>
      </c>
      <c r="E150" s="252"/>
      <c r="F150" s="29">
        <v>0.08255359246171963</v>
      </c>
      <c r="G150" s="36"/>
      <c r="H150" s="36">
        <v>724388.16</v>
      </c>
      <c r="I150" s="36"/>
      <c r="J150" s="47">
        <v>0</v>
      </c>
      <c r="K150" s="37">
        <v>0</v>
      </c>
      <c r="L150" s="43">
        <v>0</v>
      </c>
      <c r="M150" s="43">
        <v>0</v>
      </c>
      <c r="N150" s="49">
        <v>0</v>
      </c>
      <c r="O150" s="137">
        <v>9100</v>
      </c>
      <c r="P150" s="137">
        <v>1</v>
      </c>
      <c r="Q150" s="182" t="s">
        <v>492</v>
      </c>
      <c r="R150" s="5">
        <v>789570</v>
      </c>
      <c r="S150" s="149">
        <v>789570</v>
      </c>
      <c r="T150" s="149">
        <v>0</v>
      </c>
      <c r="U150" s="150">
        <v>0</v>
      </c>
      <c r="V150" s="5" t="e">
        <v>#REF!</v>
      </c>
      <c r="W150" s="5" t="e">
        <v>#REF!</v>
      </c>
      <c r="X150" s="5"/>
      <c r="Y150" s="5"/>
      <c r="Z150" s="5"/>
      <c r="AA150" s="5"/>
      <c r="AB150" s="5"/>
      <c r="AC150" s="5"/>
      <c r="AD150" s="5"/>
      <c r="AE150" s="5"/>
      <c r="AF150" s="5"/>
      <c r="AG150" s="5"/>
      <c r="AH150" s="5"/>
      <c r="AI150" s="5"/>
      <c r="AJ150" s="5"/>
      <c r="AK150" s="5"/>
    </row>
    <row r="151" spans="1:37" ht="15" customHeight="1">
      <c r="A151" s="70">
        <v>656</v>
      </c>
      <c r="B151" s="70" t="s">
        <v>614</v>
      </c>
      <c r="C151" s="45">
        <v>0</v>
      </c>
      <c r="D151" s="42">
        <v>0</v>
      </c>
      <c r="E151" s="252"/>
      <c r="F151" s="29" t="s">
        <v>596</v>
      </c>
      <c r="G151" s="36"/>
      <c r="H151" s="36"/>
      <c r="I151" s="253"/>
      <c r="J151" s="47">
        <v>0</v>
      </c>
      <c r="K151" s="37">
        <v>0</v>
      </c>
      <c r="L151" s="43">
        <v>0</v>
      </c>
      <c r="M151" s="43">
        <v>0</v>
      </c>
      <c r="N151" s="49">
        <v>0</v>
      </c>
      <c r="O151" s="137">
        <v>9100</v>
      </c>
      <c r="P151" s="137">
        <v>1</v>
      </c>
      <c r="Q151" s="182" t="s">
        <v>492</v>
      </c>
      <c r="R151" s="5">
        <v>0</v>
      </c>
      <c r="S151" s="149">
        <v>0</v>
      </c>
      <c r="T151" s="149">
        <v>0</v>
      </c>
      <c r="U151" s="150">
        <v>0</v>
      </c>
      <c r="V151" s="5" t="e">
        <v>#REF!</v>
      </c>
      <c r="W151" s="5" t="e">
        <v>#REF!</v>
      </c>
      <c r="X151" s="5"/>
      <c r="Y151" s="5"/>
      <c r="Z151" s="5"/>
      <c r="AA151" s="5"/>
      <c r="AB151" s="5"/>
      <c r="AC151" s="5"/>
      <c r="AD151" s="5"/>
      <c r="AE151" s="5"/>
      <c r="AF151" s="5"/>
      <c r="AG151" s="5"/>
      <c r="AH151" s="5"/>
      <c r="AI151" s="5"/>
      <c r="AJ151" s="5"/>
      <c r="AK151" s="5"/>
    </row>
    <row r="152" spans="1:37" ht="15" customHeight="1">
      <c r="A152" s="70">
        <v>670</v>
      </c>
      <c r="B152" s="70" t="s">
        <v>569</v>
      </c>
      <c r="C152" s="45">
        <v>0</v>
      </c>
      <c r="D152" s="42">
        <v>0</v>
      </c>
      <c r="E152" s="252"/>
      <c r="F152" s="29" t="s">
        <v>596</v>
      </c>
      <c r="G152" s="36"/>
      <c r="H152" s="36"/>
      <c r="I152" s="253"/>
      <c r="J152" s="47">
        <v>0</v>
      </c>
      <c r="K152" s="37">
        <v>0</v>
      </c>
      <c r="L152" s="43">
        <v>0</v>
      </c>
      <c r="M152" s="43">
        <v>0</v>
      </c>
      <c r="N152" s="49">
        <v>0</v>
      </c>
      <c r="O152" s="137">
        <v>9900</v>
      </c>
      <c r="P152" s="137">
        <v>1</v>
      </c>
      <c r="Q152" s="182" t="s">
        <v>492</v>
      </c>
      <c r="R152" s="5">
        <v>0</v>
      </c>
      <c r="S152" s="149">
        <v>0</v>
      </c>
      <c r="T152" s="149">
        <v>0</v>
      </c>
      <c r="U152" s="150">
        <v>0</v>
      </c>
      <c r="V152" s="5" t="e">
        <v>#REF!</v>
      </c>
      <c r="W152" s="5" t="e">
        <v>#REF!</v>
      </c>
      <c r="X152" s="5"/>
      <c r="Y152" s="5"/>
      <c r="Z152" s="5"/>
      <c r="AA152" s="5"/>
      <c r="AB152" s="5"/>
      <c r="AC152" s="5"/>
      <c r="AD152" s="5"/>
      <c r="AE152" s="5"/>
      <c r="AF152" s="5"/>
      <c r="AG152" s="5"/>
      <c r="AH152" s="5"/>
      <c r="AI152" s="5"/>
      <c r="AJ152" s="5"/>
      <c r="AK152" s="5"/>
    </row>
    <row r="153" spans="1:37" ht="15" customHeight="1" hidden="1">
      <c r="A153" s="70">
        <v>703</v>
      </c>
      <c r="B153" s="70" t="s">
        <v>599</v>
      </c>
      <c r="C153" s="45">
        <v>0</v>
      </c>
      <c r="D153" s="42">
        <v>0</v>
      </c>
      <c r="E153" s="252"/>
      <c r="F153" s="29" t="s">
        <v>596</v>
      </c>
      <c r="G153" s="36"/>
      <c r="H153" s="36"/>
      <c r="I153" s="36"/>
      <c r="J153" s="47">
        <v>0</v>
      </c>
      <c r="K153" s="37">
        <v>0</v>
      </c>
      <c r="L153" s="43">
        <v>0</v>
      </c>
      <c r="M153" s="43">
        <v>0</v>
      </c>
      <c r="N153" s="49">
        <v>0</v>
      </c>
      <c r="O153" s="137">
        <v>4000</v>
      </c>
      <c r="P153" s="137">
        <v>1</v>
      </c>
      <c r="Q153" s="182" t="s">
        <v>492</v>
      </c>
      <c r="R153" s="5">
        <v>0</v>
      </c>
      <c r="S153" s="149">
        <v>0</v>
      </c>
      <c r="T153" s="149">
        <v>0</v>
      </c>
      <c r="U153" s="150">
        <v>0</v>
      </c>
      <c r="V153" s="5" t="e">
        <v>#REF!</v>
      </c>
      <c r="W153" s="5" t="e">
        <v>#REF!</v>
      </c>
      <c r="X153" s="5"/>
      <c r="Y153" s="5"/>
      <c r="Z153" s="5"/>
      <c r="AA153" s="5"/>
      <c r="AB153" s="5"/>
      <c r="AC153" s="5"/>
      <c r="AD153" s="5"/>
      <c r="AE153" s="5"/>
      <c r="AF153" s="5"/>
      <c r="AG153" s="5"/>
      <c r="AH153" s="5"/>
      <c r="AI153" s="5"/>
      <c r="AJ153" s="5"/>
      <c r="AK153" s="5"/>
    </row>
    <row r="154" spans="1:37" ht="15" customHeight="1" hidden="1">
      <c r="A154" s="70" t="s">
        <v>238</v>
      </c>
      <c r="B154" s="70" t="s">
        <v>239</v>
      </c>
      <c r="C154" s="45">
        <v>-60000</v>
      </c>
      <c r="D154" s="42">
        <v>-41033.96</v>
      </c>
      <c r="E154" s="252"/>
      <c r="F154" s="29">
        <v>0.3161006666666667</v>
      </c>
      <c r="G154" s="36">
        <v>41033.96</v>
      </c>
      <c r="H154" s="36"/>
      <c r="I154" s="36"/>
      <c r="J154" s="47">
        <v>0</v>
      </c>
      <c r="K154" s="37">
        <v>0</v>
      </c>
      <c r="L154" s="43">
        <v>0</v>
      </c>
      <c r="M154" s="43">
        <v>0</v>
      </c>
      <c r="N154" s="49">
        <v>0</v>
      </c>
      <c r="O154" s="137">
        <v>5300</v>
      </c>
      <c r="P154" s="137">
        <v>1</v>
      </c>
      <c r="Q154" s="182" t="s">
        <v>492</v>
      </c>
      <c r="R154" s="5">
        <v>-60000</v>
      </c>
      <c r="S154" s="149">
        <v>-60000</v>
      </c>
      <c r="T154" s="149">
        <v>0</v>
      </c>
      <c r="U154" s="150">
        <v>0</v>
      </c>
      <c r="V154" s="5" t="e">
        <v>#REF!</v>
      </c>
      <c r="W154" s="5" t="e">
        <v>#REF!</v>
      </c>
      <c r="X154" s="5"/>
      <c r="Y154" s="5"/>
      <c r="Z154" s="5"/>
      <c r="AA154" s="5"/>
      <c r="AB154" s="5"/>
      <c r="AC154" s="5"/>
      <c r="AD154" s="5"/>
      <c r="AE154" s="5"/>
      <c r="AF154" s="5"/>
      <c r="AG154" s="5"/>
      <c r="AH154" s="5"/>
      <c r="AI154" s="5"/>
      <c r="AJ154" s="5"/>
      <c r="AK154" s="5"/>
    </row>
    <row r="155" spans="1:37" ht="15" customHeight="1" hidden="1">
      <c r="A155" s="70" t="s">
        <v>240</v>
      </c>
      <c r="B155" s="70" t="s">
        <v>241</v>
      </c>
      <c r="C155" s="45">
        <v>35000</v>
      </c>
      <c r="D155" s="42">
        <v>51.71</v>
      </c>
      <c r="E155" s="252"/>
      <c r="F155" s="29">
        <v>0.9985225714285715</v>
      </c>
      <c r="G155" s="36"/>
      <c r="H155" s="36">
        <v>51.71</v>
      </c>
      <c r="I155" s="36"/>
      <c r="J155" s="47">
        <v>0</v>
      </c>
      <c r="K155" s="37">
        <v>0</v>
      </c>
      <c r="L155" s="43">
        <v>0</v>
      </c>
      <c r="M155" s="43">
        <v>1119.47</v>
      </c>
      <c r="N155" s="49">
        <v>1119.47</v>
      </c>
      <c r="O155" s="137">
        <v>3000</v>
      </c>
      <c r="P155" s="137">
        <v>1</v>
      </c>
      <c r="Q155" s="182" t="s">
        <v>492</v>
      </c>
      <c r="R155" s="5">
        <v>35000</v>
      </c>
      <c r="S155" s="149">
        <v>36119.47</v>
      </c>
      <c r="T155" s="149">
        <v>-1119.4700000000012</v>
      </c>
      <c r="U155" s="150">
        <v>0</v>
      </c>
      <c r="V155" s="5" t="e">
        <v>#REF!</v>
      </c>
      <c r="W155" s="5" t="e">
        <v>#REF!</v>
      </c>
      <c r="X155" s="5"/>
      <c r="Y155" s="5"/>
      <c r="Z155" s="5"/>
      <c r="AA155" s="5"/>
      <c r="AB155" s="5"/>
      <c r="AC155" s="5"/>
      <c r="AD155" s="5"/>
      <c r="AE155" s="5"/>
      <c r="AF155" s="5"/>
      <c r="AG155" s="5"/>
      <c r="AH155" s="5"/>
      <c r="AI155" s="5"/>
      <c r="AJ155" s="5"/>
      <c r="AK155" s="5"/>
    </row>
    <row r="156" spans="1:37" ht="15" customHeight="1">
      <c r="A156" s="70" t="s">
        <v>242</v>
      </c>
      <c r="B156" s="70" t="s">
        <v>243</v>
      </c>
      <c r="C156" s="45">
        <v>90000</v>
      </c>
      <c r="D156" s="42">
        <v>90000</v>
      </c>
      <c r="E156" s="252"/>
      <c r="F156" s="29">
        <v>0</v>
      </c>
      <c r="G156" s="36"/>
      <c r="H156" s="36">
        <v>90000</v>
      </c>
      <c r="I156" s="253"/>
      <c r="J156" s="47">
        <v>0</v>
      </c>
      <c r="K156" s="37">
        <v>0</v>
      </c>
      <c r="L156" s="43">
        <v>0</v>
      </c>
      <c r="M156" s="43">
        <v>0</v>
      </c>
      <c r="N156" s="49">
        <v>0</v>
      </c>
      <c r="O156" s="137">
        <v>3000</v>
      </c>
      <c r="P156" s="137">
        <v>1</v>
      </c>
      <c r="Q156" s="182" t="s">
        <v>492</v>
      </c>
      <c r="R156" s="5">
        <v>90000</v>
      </c>
      <c r="S156" s="149">
        <v>90000</v>
      </c>
      <c r="T156" s="149">
        <v>0</v>
      </c>
      <c r="U156" s="150">
        <v>0</v>
      </c>
      <c r="V156" s="5" t="e">
        <v>#REF!</v>
      </c>
      <c r="W156" s="5" t="e">
        <v>#REF!</v>
      </c>
      <c r="X156" s="5"/>
      <c r="Y156" s="5"/>
      <c r="Z156" s="5"/>
      <c r="AA156" s="5"/>
      <c r="AB156" s="5"/>
      <c r="AC156" s="5"/>
      <c r="AD156" s="5"/>
      <c r="AE156" s="5"/>
      <c r="AF156" s="5"/>
      <c r="AG156" s="5"/>
      <c r="AH156" s="5"/>
      <c r="AI156" s="5"/>
      <c r="AJ156" s="5"/>
      <c r="AK156" s="5"/>
    </row>
    <row r="157" spans="1:37" ht="15" customHeight="1" hidden="1">
      <c r="A157" s="70" t="s">
        <v>244</v>
      </c>
      <c r="B157" s="70" t="s">
        <v>245</v>
      </c>
      <c r="C157" s="45">
        <v>0</v>
      </c>
      <c r="D157" s="42">
        <v>0</v>
      </c>
      <c r="E157" s="252"/>
      <c r="F157" s="29" t="s">
        <v>596</v>
      </c>
      <c r="G157" s="36"/>
      <c r="H157" s="36"/>
      <c r="I157" s="36"/>
      <c r="J157" s="47">
        <v>0</v>
      </c>
      <c r="K157" s="37">
        <v>0</v>
      </c>
      <c r="L157" s="43">
        <v>0</v>
      </c>
      <c r="M157" s="43">
        <v>0</v>
      </c>
      <c r="N157" s="49">
        <v>0</v>
      </c>
      <c r="O157" s="137">
        <v>9900</v>
      </c>
      <c r="P157" s="137">
        <v>1</v>
      </c>
      <c r="Q157" s="182" t="s">
        <v>492</v>
      </c>
      <c r="R157" s="5">
        <v>0</v>
      </c>
      <c r="S157" s="149">
        <v>0</v>
      </c>
      <c r="T157" s="149">
        <v>0</v>
      </c>
      <c r="U157" s="150">
        <v>0</v>
      </c>
      <c r="V157" s="5" t="e">
        <v>#REF!</v>
      </c>
      <c r="W157" s="5" t="e">
        <v>#REF!</v>
      </c>
      <c r="X157" s="5"/>
      <c r="Y157" s="5"/>
      <c r="Z157" s="5"/>
      <c r="AA157" s="5"/>
      <c r="AB157" s="5"/>
      <c r="AC157" s="5"/>
      <c r="AD157" s="5"/>
      <c r="AE157" s="5"/>
      <c r="AF157" s="5"/>
      <c r="AG157" s="5"/>
      <c r="AH157" s="5"/>
      <c r="AI157" s="5"/>
      <c r="AJ157" s="5"/>
      <c r="AK157" s="5"/>
    </row>
    <row r="158" spans="1:37" ht="15" customHeight="1" hidden="1">
      <c r="A158" s="70" t="s">
        <v>248</v>
      </c>
      <c r="B158" s="70" t="s">
        <v>249</v>
      </c>
      <c r="C158" s="45">
        <v>0</v>
      </c>
      <c r="D158" s="42">
        <v>825.53</v>
      </c>
      <c r="E158" s="252"/>
      <c r="F158" s="29" t="s">
        <v>596</v>
      </c>
      <c r="G158" s="36"/>
      <c r="H158" s="36">
        <v>825.53</v>
      </c>
      <c r="I158" s="36"/>
      <c r="J158" s="47">
        <v>0</v>
      </c>
      <c r="K158" s="37">
        <v>0</v>
      </c>
      <c r="L158" s="43">
        <v>0</v>
      </c>
      <c r="M158" s="43">
        <v>0</v>
      </c>
      <c r="N158" s="49">
        <v>0</v>
      </c>
      <c r="O158" s="137">
        <v>2200</v>
      </c>
      <c r="P158" s="137">
        <v>1</v>
      </c>
      <c r="Q158" s="182" t="s">
        <v>492</v>
      </c>
      <c r="R158" s="5">
        <v>0</v>
      </c>
      <c r="S158" s="149">
        <v>0</v>
      </c>
      <c r="T158" s="149">
        <v>0</v>
      </c>
      <c r="U158" s="150">
        <v>0</v>
      </c>
      <c r="V158" s="5" t="e">
        <v>#REF!</v>
      </c>
      <c r="W158" s="5" t="e">
        <v>#REF!</v>
      </c>
      <c r="X158" s="5"/>
      <c r="Y158" s="5"/>
      <c r="Z158" s="5"/>
      <c r="AA158" s="5"/>
      <c r="AB158" s="5"/>
      <c r="AC158" s="5"/>
      <c r="AD158" s="5"/>
      <c r="AE158" s="5"/>
      <c r="AF158" s="5"/>
      <c r="AG158" s="5"/>
      <c r="AH158" s="5"/>
      <c r="AI158" s="5"/>
      <c r="AJ158" s="5"/>
      <c r="AK158" s="5"/>
    </row>
    <row r="159" spans="1:37" ht="15" customHeight="1">
      <c r="A159" s="70" t="s">
        <v>250</v>
      </c>
      <c r="B159" s="70" t="s">
        <v>251</v>
      </c>
      <c r="C159" s="45">
        <v>0</v>
      </c>
      <c r="D159" s="42">
        <v>311.84</v>
      </c>
      <c r="E159" s="252"/>
      <c r="F159" s="29" t="s">
        <v>596</v>
      </c>
      <c r="G159" s="36"/>
      <c r="H159" s="36">
        <v>311.84</v>
      </c>
      <c r="I159" s="253"/>
      <c r="J159" s="47">
        <v>0</v>
      </c>
      <c r="K159" s="37">
        <v>0</v>
      </c>
      <c r="L159" s="43">
        <v>0</v>
      </c>
      <c r="M159" s="43">
        <v>0</v>
      </c>
      <c r="N159" s="49">
        <v>0</v>
      </c>
      <c r="O159" s="137">
        <v>2200</v>
      </c>
      <c r="P159" s="137">
        <v>1</v>
      </c>
      <c r="Q159" s="182" t="s">
        <v>492</v>
      </c>
      <c r="R159" s="5">
        <v>0</v>
      </c>
      <c r="S159" s="149">
        <v>0</v>
      </c>
      <c r="T159" s="149">
        <v>0</v>
      </c>
      <c r="U159" s="150">
        <v>0</v>
      </c>
      <c r="V159" s="5" t="e">
        <v>#REF!</v>
      </c>
      <c r="W159" s="5" t="e">
        <v>#REF!</v>
      </c>
      <c r="X159" s="5"/>
      <c r="Y159" s="5"/>
      <c r="Z159" s="5"/>
      <c r="AA159" s="5"/>
      <c r="AB159" s="5"/>
      <c r="AC159" s="5"/>
      <c r="AD159" s="5"/>
      <c r="AE159" s="5"/>
      <c r="AF159" s="5"/>
      <c r="AG159" s="5"/>
      <c r="AH159" s="5"/>
      <c r="AI159" s="5"/>
      <c r="AJ159" s="5"/>
      <c r="AK159" s="5"/>
    </row>
    <row r="160" spans="1:37" ht="15" customHeight="1">
      <c r="A160" s="70" t="s">
        <v>252</v>
      </c>
      <c r="B160" s="70" t="s">
        <v>253</v>
      </c>
      <c r="C160" s="45">
        <v>0</v>
      </c>
      <c r="D160" s="42">
        <v>0</v>
      </c>
      <c r="E160" s="252"/>
      <c r="F160" s="29" t="s">
        <v>596</v>
      </c>
      <c r="G160" s="36"/>
      <c r="H160" s="36"/>
      <c r="I160" s="36"/>
      <c r="J160" s="47">
        <v>0</v>
      </c>
      <c r="K160" s="37">
        <v>0</v>
      </c>
      <c r="L160" s="43">
        <v>0</v>
      </c>
      <c r="M160" s="43">
        <v>0</v>
      </c>
      <c r="N160" s="49">
        <v>0</v>
      </c>
      <c r="O160" s="137">
        <v>1250</v>
      </c>
      <c r="P160" s="137">
        <v>1</v>
      </c>
      <c r="Q160" s="182" t="s">
        <v>492</v>
      </c>
      <c r="R160" s="5">
        <v>0</v>
      </c>
      <c r="S160" s="149">
        <v>0</v>
      </c>
      <c r="T160" s="149">
        <v>0</v>
      </c>
      <c r="U160" s="150">
        <v>0</v>
      </c>
      <c r="V160" s="5" t="e">
        <v>#REF!</v>
      </c>
      <c r="W160" s="5" t="e">
        <v>#REF!</v>
      </c>
      <c r="X160" s="5"/>
      <c r="Y160" s="5"/>
      <c r="Z160" s="5"/>
      <c r="AA160" s="5"/>
      <c r="AB160" s="5"/>
      <c r="AC160" s="5"/>
      <c r="AD160" s="5"/>
      <c r="AE160" s="5"/>
      <c r="AF160" s="5"/>
      <c r="AG160" s="5"/>
      <c r="AH160" s="5"/>
      <c r="AI160" s="5"/>
      <c r="AJ160" s="5"/>
      <c r="AK160" s="5"/>
    </row>
    <row r="161" spans="1:37" ht="15" customHeight="1">
      <c r="A161" s="70" t="s">
        <v>254</v>
      </c>
      <c r="B161" s="70" t="s">
        <v>255</v>
      </c>
      <c r="C161" s="45">
        <v>0</v>
      </c>
      <c r="D161" s="42">
        <v>0</v>
      </c>
      <c r="E161" s="252"/>
      <c r="F161" s="29" t="s">
        <v>596</v>
      </c>
      <c r="G161" s="36"/>
      <c r="H161" s="36"/>
      <c r="I161" s="253"/>
      <c r="J161" s="47">
        <v>0</v>
      </c>
      <c r="K161" s="37">
        <v>0</v>
      </c>
      <c r="L161" s="43">
        <v>0</v>
      </c>
      <c r="M161" s="43">
        <v>0</v>
      </c>
      <c r="N161" s="49">
        <v>0</v>
      </c>
      <c r="O161" s="137">
        <v>5300</v>
      </c>
      <c r="P161" s="137">
        <v>1</v>
      </c>
      <c r="Q161" s="182" t="s">
        <v>492</v>
      </c>
      <c r="R161" s="5">
        <v>0</v>
      </c>
      <c r="S161" s="149">
        <v>0</v>
      </c>
      <c r="T161" s="149">
        <v>0</v>
      </c>
      <c r="U161" s="150">
        <v>0</v>
      </c>
      <c r="V161" s="5" t="e">
        <v>#REF!</v>
      </c>
      <c r="W161" s="5" t="e">
        <v>#REF!</v>
      </c>
      <c r="X161" s="5"/>
      <c r="Y161" s="5"/>
      <c r="Z161" s="5"/>
      <c r="AA161" s="5"/>
      <c r="AB161" s="5"/>
      <c r="AC161" s="5"/>
      <c r="AD161" s="5"/>
      <c r="AE161" s="5"/>
      <c r="AF161" s="5"/>
      <c r="AG161" s="5"/>
      <c r="AH161" s="5"/>
      <c r="AI161" s="5"/>
      <c r="AJ161" s="5"/>
      <c r="AK161" s="5"/>
    </row>
    <row r="162" spans="1:37" ht="15" customHeight="1">
      <c r="A162" s="254" t="s">
        <v>256</v>
      </c>
      <c r="B162" s="254" t="s">
        <v>257</v>
      </c>
      <c r="C162" s="45">
        <v>0</v>
      </c>
      <c r="D162" s="42">
        <v>0</v>
      </c>
      <c r="E162" s="252"/>
      <c r="F162" s="29" t="s">
        <v>596</v>
      </c>
      <c r="G162" s="36"/>
      <c r="H162" s="36"/>
      <c r="I162" s="253"/>
      <c r="J162" s="47">
        <v>0</v>
      </c>
      <c r="K162" s="37">
        <v>0</v>
      </c>
      <c r="L162" s="43">
        <v>0</v>
      </c>
      <c r="M162" s="43">
        <v>0</v>
      </c>
      <c r="N162" s="49">
        <v>0</v>
      </c>
      <c r="O162" s="137">
        <v>5300</v>
      </c>
      <c r="P162" s="137">
        <v>1</v>
      </c>
      <c r="Q162" s="182" t="s">
        <v>492</v>
      </c>
      <c r="R162" s="5">
        <v>0</v>
      </c>
      <c r="S162" s="149">
        <v>0</v>
      </c>
      <c r="T162" s="149">
        <v>0</v>
      </c>
      <c r="U162" s="150">
        <v>0</v>
      </c>
      <c r="V162" s="5" t="e">
        <v>#REF!</v>
      </c>
      <c r="W162" s="5" t="e">
        <v>#REF!</v>
      </c>
      <c r="X162" s="5"/>
      <c r="Y162" s="5"/>
      <c r="Z162" s="5"/>
      <c r="AA162" s="5"/>
      <c r="AB162" s="5"/>
      <c r="AC162" s="5"/>
      <c r="AD162" s="5"/>
      <c r="AE162" s="5"/>
      <c r="AF162" s="5"/>
      <c r="AG162" s="5"/>
      <c r="AH162" s="5"/>
      <c r="AI162" s="5"/>
      <c r="AJ162" s="5"/>
      <c r="AK162" s="5"/>
    </row>
    <row r="163" spans="1:37" ht="15" customHeight="1">
      <c r="A163" s="254" t="s">
        <v>262</v>
      </c>
      <c r="B163" s="254" t="s">
        <v>263</v>
      </c>
      <c r="C163" s="45">
        <v>0</v>
      </c>
      <c r="D163" s="42">
        <v>0</v>
      </c>
      <c r="E163" s="252"/>
      <c r="F163" s="29" t="s">
        <v>596</v>
      </c>
      <c r="G163" s="36"/>
      <c r="H163" s="36"/>
      <c r="I163" s="253"/>
      <c r="J163" s="47">
        <v>0</v>
      </c>
      <c r="K163" s="37">
        <v>0</v>
      </c>
      <c r="L163" s="43">
        <v>0</v>
      </c>
      <c r="M163" s="43">
        <v>0</v>
      </c>
      <c r="N163" s="49">
        <v>0</v>
      </c>
      <c r="O163" s="137">
        <v>5300</v>
      </c>
      <c r="P163" s="137">
        <v>1</v>
      </c>
      <c r="Q163" s="182" t="s">
        <v>492</v>
      </c>
      <c r="R163" s="5">
        <v>0</v>
      </c>
      <c r="S163" s="149">
        <v>0</v>
      </c>
      <c r="T163" s="149">
        <v>0</v>
      </c>
      <c r="U163" s="150">
        <v>0</v>
      </c>
      <c r="V163" s="5" t="e">
        <v>#REF!</v>
      </c>
      <c r="W163" s="5" t="e">
        <v>#REF!</v>
      </c>
      <c r="X163" s="5"/>
      <c r="Y163" s="5"/>
      <c r="Z163" s="5"/>
      <c r="AA163" s="5"/>
      <c r="AB163" s="5"/>
      <c r="AC163" s="5"/>
      <c r="AD163" s="5"/>
      <c r="AE163" s="5"/>
      <c r="AF163" s="5"/>
      <c r="AG163" s="5"/>
      <c r="AH163" s="5"/>
      <c r="AI163" s="5"/>
      <c r="AJ163" s="5"/>
      <c r="AK163" s="5"/>
    </row>
    <row r="164" spans="1:37" ht="15" customHeight="1">
      <c r="A164" s="254" t="s">
        <v>264</v>
      </c>
      <c r="B164" s="254" t="s">
        <v>583</v>
      </c>
      <c r="C164" s="45">
        <v>0</v>
      </c>
      <c r="D164" s="42">
        <v>0</v>
      </c>
      <c r="E164" s="252"/>
      <c r="F164" s="29" t="s">
        <v>596</v>
      </c>
      <c r="G164" s="36"/>
      <c r="H164" s="36"/>
      <c r="I164" s="253"/>
      <c r="J164" s="47">
        <v>0</v>
      </c>
      <c r="K164" s="37">
        <v>0</v>
      </c>
      <c r="L164" s="43">
        <v>0</v>
      </c>
      <c r="M164" s="43">
        <v>0</v>
      </c>
      <c r="N164" s="49">
        <v>0</v>
      </c>
      <c r="O164" s="137">
        <v>5300</v>
      </c>
      <c r="P164" s="137">
        <v>1</v>
      </c>
      <c r="Q164" s="182" t="s">
        <v>492</v>
      </c>
      <c r="R164" s="5">
        <v>0</v>
      </c>
      <c r="S164" s="149">
        <v>0</v>
      </c>
      <c r="T164" s="149">
        <v>0</v>
      </c>
      <c r="U164" s="150">
        <v>0</v>
      </c>
      <c r="V164" s="5" t="e">
        <v>#REF!</v>
      </c>
      <c r="W164" s="5" t="e">
        <v>#REF!</v>
      </c>
      <c r="X164" s="5"/>
      <c r="Y164" s="5"/>
      <c r="Z164" s="5"/>
      <c r="AA164" s="5"/>
      <c r="AB164" s="5"/>
      <c r="AC164" s="5"/>
      <c r="AD164" s="5"/>
      <c r="AE164" s="5"/>
      <c r="AF164" s="5"/>
      <c r="AG164" s="5"/>
      <c r="AH164" s="5"/>
      <c r="AI164" s="5"/>
      <c r="AJ164" s="5"/>
      <c r="AK164" s="5"/>
    </row>
    <row r="165" spans="1:37" ht="15" customHeight="1">
      <c r="A165" s="254" t="s">
        <v>266</v>
      </c>
      <c r="B165" s="254" t="s">
        <v>267</v>
      </c>
      <c r="C165" s="45">
        <v>0</v>
      </c>
      <c r="D165" s="42">
        <v>0</v>
      </c>
      <c r="E165" s="252"/>
      <c r="F165" s="29" t="s">
        <v>596</v>
      </c>
      <c r="G165" s="36"/>
      <c r="H165" s="36"/>
      <c r="I165" s="253"/>
      <c r="J165" s="47">
        <v>0</v>
      </c>
      <c r="K165" s="37">
        <v>0</v>
      </c>
      <c r="L165" s="43">
        <v>0</v>
      </c>
      <c r="M165" s="43">
        <v>0</v>
      </c>
      <c r="N165" s="49">
        <v>0</v>
      </c>
      <c r="O165" s="137">
        <v>5300</v>
      </c>
      <c r="P165" s="137">
        <v>1</v>
      </c>
      <c r="Q165" s="182" t="s">
        <v>492</v>
      </c>
      <c r="R165" s="5">
        <v>0</v>
      </c>
      <c r="S165" s="149">
        <v>0</v>
      </c>
      <c r="T165" s="149">
        <v>0</v>
      </c>
      <c r="U165" s="150">
        <v>0</v>
      </c>
      <c r="V165" s="5" t="e">
        <v>#REF!</v>
      </c>
      <c r="W165" s="5" t="e">
        <v>#REF!</v>
      </c>
      <c r="X165" s="5"/>
      <c r="Y165" s="5"/>
      <c r="Z165" s="5"/>
      <c r="AA165" s="5"/>
      <c r="AB165" s="5"/>
      <c r="AC165" s="5"/>
      <c r="AD165" s="5"/>
      <c r="AE165" s="5"/>
      <c r="AF165" s="5"/>
      <c r="AG165" s="5"/>
      <c r="AH165" s="5"/>
      <c r="AI165" s="5"/>
      <c r="AJ165" s="5"/>
      <c r="AK165" s="5"/>
    </row>
    <row r="166" spans="1:37" ht="15" customHeight="1">
      <c r="A166" s="70" t="s">
        <v>268</v>
      </c>
      <c r="B166" s="70" t="s">
        <v>269</v>
      </c>
      <c r="C166" s="45">
        <v>0</v>
      </c>
      <c r="D166" s="42">
        <v>0</v>
      </c>
      <c r="E166" s="252"/>
      <c r="F166" s="29" t="s">
        <v>596</v>
      </c>
      <c r="G166" s="36"/>
      <c r="H166" s="36"/>
      <c r="I166" s="36"/>
      <c r="J166" s="47">
        <v>0</v>
      </c>
      <c r="K166" s="37">
        <v>0</v>
      </c>
      <c r="L166" s="43">
        <v>0</v>
      </c>
      <c r="M166" s="43">
        <v>0</v>
      </c>
      <c r="N166" s="49">
        <v>0</v>
      </c>
      <c r="O166" s="137">
        <v>1250</v>
      </c>
      <c r="P166" s="137">
        <v>1</v>
      </c>
      <c r="Q166" s="182" t="s">
        <v>492</v>
      </c>
      <c r="R166" s="5">
        <v>0</v>
      </c>
      <c r="S166" s="149">
        <v>0</v>
      </c>
      <c r="T166" s="149">
        <v>0</v>
      </c>
      <c r="U166" s="150">
        <v>0</v>
      </c>
      <c r="V166" s="5" t="e">
        <v>#REF!</v>
      </c>
      <c r="W166" s="5" t="e">
        <v>#REF!</v>
      </c>
      <c r="X166" s="5"/>
      <c r="Y166" s="5"/>
      <c r="Z166" s="5"/>
      <c r="AA166" s="5"/>
      <c r="AB166" s="5"/>
      <c r="AC166" s="5"/>
      <c r="AD166" s="5"/>
      <c r="AE166" s="5"/>
      <c r="AF166" s="5"/>
      <c r="AG166" s="5"/>
      <c r="AH166" s="5"/>
      <c r="AI166" s="5"/>
      <c r="AJ166" s="5"/>
      <c r="AK166" s="5"/>
    </row>
    <row r="167" spans="1:37" ht="15" customHeight="1" hidden="1">
      <c r="A167" s="70" t="s">
        <v>270</v>
      </c>
      <c r="B167" s="70" t="s">
        <v>271</v>
      </c>
      <c r="C167" s="45">
        <v>0</v>
      </c>
      <c r="D167" s="42">
        <v>0</v>
      </c>
      <c r="E167" s="252"/>
      <c r="F167" s="29" t="s">
        <v>596</v>
      </c>
      <c r="G167" s="36"/>
      <c r="H167" s="36"/>
      <c r="I167" s="36"/>
      <c r="J167" s="47">
        <v>0</v>
      </c>
      <c r="K167" s="37">
        <v>0</v>
      </c>
      <c r="L167" s="43">
        <v>0</v>
      </c>
      <c r="M167" s="43">
        <v>0</v>
      </c>
      <c r="N167" s="49">
        <v>0</v>
      </c>
      <c r="O167" s="137">
        <v>1250</v>
      </c>
      <c r="P167" s="137">
        <v>1</v>
      </c>
      <c r="Q167" s="182" t="s">
        <v>492</v>
      </c>
      <c r="R167" s="5">
        <v>0</v>
      </c>
      <c r="S167" s="149">
        <v>0</v>
      </c>
      <c r="T167" s="149">
        <v>0</v>
      </c>
      <c r="U167" s="150">
        <v>0</v>
      </c>
      <c r="V167" s="5" t="e">
        <v>#REF!</v>
      </c>
      <c r="W167" s="5" t="e">
        <v>#REF!</v>
      </c>
      <c r="X167" s="5"/>
      <c r="Y167" s="5"/>
      <c r="Z167" s="5"/>
      <c r="AA167" s="5"/>
      <c r="AB167" s="5"/>
      <c r="AC167" s="5"/>
      <c r="AD167" s="5"/>
      <c r="AE167" s="5"/>
      <c r="AF167" s="5"/>
      <c r="AG167" s="5"/>
      <c r="AH167" s="5"/>
      <c r="AI167" s="5"/>
      <c r="AJ167" s="5"/>
      <c r="AK167" s="5"/>
    </row>
    <row r="168" spans="1:37" ht="15" customHeight="1">
      <c r="A168" s="70" t="s">
        <v>278</v>
      </c>
      <c r="B168" s="70" t="s">
        <v>279</v>
      </c>
      <c r="C168" s="45">
        <v>2000</v>
      </c>
      <c r="D168" s="42">
        <v>1731.38</v>
      </c>
      <c r="E168" s="252"/>
      <c r="F168" s="29">
        <v>0.13430999999999996</v>
      </c>
      <c r="G168" s="36"/>
      <c r="H168" s="36">
        <v>1731.38</v>
      </c>
      <c r="I168" s="253"/>
      <c r="J168" s="47">
        <v>0</v>
      </c>
      <c r="K168" s="37">
        <v>0</v>
      </c>
      <c r="L168" s="43">
        <v>0</v>
      </c>
      <c r="M168" s="43">
        <v>0</v>
      </c>
      <c r="N168" s="49">
        <v>0</v>
      </c>
      <c r="O168" s="137">
        <v>5300</v>
      </c>
      <c r="P168" s="137">
        <v>1</v>
      </c>
      <c r="Q168" s="182" t="s">
        <v>492</v>
      </c>
      <c r="R168" s="5">
        <v>2000</v>
      </c>
      <c r="S168" s="149">
        <v>2000</v>
      </c>
      <c r="T168" s="149">
        <v>0</v>
      </c>
      <c r="U168" s="150">
        <v>0</v>
      </c>
      <c r="V168" s="5" t="e">
        <v>#REF!</v>
      </c>
      <c r="W168" s="5" t="e">
        <v>#REF!</v>
      </c>
      <c r="X168" s="5"/>
      <c r="Y168" s="5"/>
      <c r="Z168" s="5"/>
      <c r="AA168" s="5"/>
      <c r="AB168" s="5"/>
      <c r="AC168" s="5"/>
      <c r="AD168" s="5"/>
      <c r="AE168" s="5"/>
      <c r="AF168" s="5"/>
      <c r="AG168" s="5"/>
      <c r="AH168" s="5"/>
      <c r="AI168" s="5"/>
      <c r="AJ168" s="5"/>
      <c r="AK168" s="5"/>
    </row>
    <row r="169" spans="1:37" ht="15" customHeight="1">
      <c r="A169" s="254" t="s">
        <v>282</v>
      </c>
      <c r="B169" s="254" t="s">
        <v>283</v>
      </c>
      <c r="C169" s="45">
        <v>0</v>
      </c>
      <c r="D169" s="42">
        <v>0</v>
      </c>
      <c r="E169" s="252"/>
      <c r="F169" s="29" t="s">
        <v>596</v>
      </c>
      <c r="G169" s="36"/>
      <c r="H169" s="36"/>
      <c r="I169" s="253"/>
      <c r="J169" s="47">
        <v>0</v>
      </c>
      <c r="K169" s="37">
        <v>0</v>
      </c>
      <c r="L169" s="43">
        <v>0</v>
      </c>
      <c r="M169" s="43">
        <v>0</v>
      </c>
      <c r="N169" s="49">
        <v>0</v>
      </c>
      <c r="O169" s="137">
        <v>5300</v>
      </c>
      <c r="P169" s="137">
        <v>1</v>
      </c>
      <c r="Q169" s="182" t="s">
        <v>492</v>
      </c>
      <c r="R169" s="5">
        <v>0</v>
      </c>
      <c r="S169" s="149">
        <v>0</v>
      </c>
      <c r="T169" s="149">
        <v>0</v>
      </c>
      <c r="U169" s="150">
        <v>0</v>
      </c>
      <c r="V169" s="5" t="e">
        <v>#REF!</v>
      </c>
      <c r="W169" s="5" t="e">
        <v>#REF!</v>
      </c>
      <c r="X169" s="5"/>
      <c r="Y169" s="5"/>
      <c r="Z169" s="5"/>
      <c r="AA169" s="5"/>
      <c r="AB169" s="5"/>
      <c r="AC169" s="5"/>
      <c r="AD169" s="5"/>
      <c r="AE169" s="5"/>
      <c r="AF169" s="5"/>
      <c r="AG169" s="5"/>
      <c r="AH169" s="5"/>
      <c r="AI169" s="5"/>
      <c r="AJ169" s="5"/>
      <c r="AK169" s="5"/>
    </row>
    <row r="170" spans="1:37" ht="15" customHeight="1">
      <c r="A170" s="254" t="s">
        <v>284</v>
      </c>
      <c r="B170" s="254" t="s">
        <v>701</v>
      </c>
      <c r="C170" s="45">
        <v>4500</v>
      </c>
      <c r="D170" s="42">
        <v>5961.51</v>
      </c>
      <c r="E170" s="252"/>
      <c r="F170" s="29">
        <v>-0.32478000000000007</v>
      </c>
      <c r="G170" s="36"/>
      <c r="H170" s="36">
        <v>5961.51</v>
      </c>
      <c r="I170" s="253"/>
      <c r="J170" s="47">
        <v>0</v>
      </c>
      <c r="K170" s="37">
        <v>0</v>
      </c>
      <c r="L170" s="43">
        <v>0</v>
      </c>
      <c r="M170" s="43">
        <v>0</v>
      </c>
      <c r="N170" s="49">
        <v>0</v>
      </c>
      <c r="O170" s="137">
        <v>1650</v>
      </c>
      <c r="P170" s="137">
        <v>1</v>
      </c>
      <c r="Q170" s="182" t="s">
        <v>492</v>
      </c>
      <c r="R170" s="5">
        <v>4500</v>
      </c>
      <c r="S170" s="149">
        <v>4500</v>
      </c>
      <c r="T170" s="149">
        <v>0</v>
      </c>
      <c r="U170" s="150">
        <v>0</v>
      </c>
      <c r="V170" s="5" t="e">
        <v>#REF!</v>
      </c>
      <c r="W170" s="5" t="e">
        <v>#REF!</v>
      </c>
      <c r="X170" s="5"/>
      <c r="Y170" s="5"/>
      <c r="Z170" s="5"/>
      <c r="AA170" s="5"/>
      <c r="AB170" s="5"/>
      <c r="AC170" s="5"/>
      <c r="AD170" s="5"/>
      <c r="AE170" s="5"/>
      <c r="AF170" s="5"/>
      <c r="AG170" s="5"/>
      <c r="AH170" s="5"/>
      <c r="AI170" s="5"/>
      <c r="AJ170" s="5"/>
      <c r="AK170" s="5"/>
    </row>
    <row r="171" spans="1:37" ht="15" customHeight="1" hidden="1">
      <c r="A171" s="254" t="s">
        <v>286</v>
      </c>
      <c r="B171" s="254" t="s">
        <v>702</v>
      </c>
      <c r="C171" s="45">
        <v>-13800</v>
      </c>
      <c r="D171" s="42">
        <v>83</v>
      </c>
      <c r="E171" s="252"/>
      <c r="F171" s="29">
        <v>1.0060144927536232</v>
      </c>
      <c r="G171" s="36"/>
      <c r="H171" s="36"/>
      <c r="I171" s="36"/>
      <c r="J171" s="47">
        <v>83</v>
      </c>
      <c r="K171" s="37">
        <v>0</v>
      </c>
      <c r="L171" s="43">
        <v>0</v>
      </c>
      <c r="M171" s="43">
        <v>0</v>
      </c>
      <c r="N171" s="49">
        <v>83</v>
      </c>
      <c r="O171" s="137">
        <v>5300</v>
      </c>
      <c r="P171" s="137">
        <v>1</v>
      </c>
      <c r="Q171" s="182" t="s">
        <v>492</v>
      </c>
      <c r="R171" s="5">
        <v>-13800</v>
      </c>
      <c r="S171" s="149">
        <v>-13800</v>
      </c>
      <c r="T171" s="149">
        <v>0</v>
      </c>
      <c r="U171" s="150">
        <v>0</v>
      </c>
      <c r="V171" s="5" t="e">
        <v>#REF!</v>
      </c>
      <c r="W171" s="5" t="e">
        <v>#REF!</v>
      </c>
      <c r="X171" s="5"/>
      <c r="Y171" s="5"/>
      <c r="Z171" s="5"/>
      <c r="AA171" s="5"/>
      <c r="AB171" s="5"/>
      <c r="AC171" s="5"/>
      <c r="AD171" s="5"/>
      <c r="AE171" s="5"/>
      <c r="AF171" s="5"/>
      <c r="AG171" s="5"/>
      <c r="AH171" s="5"/>
      <c r="AI171" s="5"/>
      <c r="AJ171" s="5"/>
      <c r="AK171" s="5"/>
    </row>
    <row r="172" spans="1:37" ht="15" customHeight="1">
      <c r="A172" s="70" t="s">
        <v>288</v>
      </c>
      <c r="B172" s="70" t="s">
        <v>289</v>
      </c>
      <c r="C172" s="45">
        <v>1133</v>
      </c>
      <c r="D172" s="42">
        <v>1133</v>
      </c>
      <c r="E172" s="252"/>
      <c r="F172" s="29">
        <v>0</v>
      </c>
      <c r="G172" s="36"/>
      <c r="H172" s="36">
        <v>1133</v>
      </c>
      <c r="I172" s="36"/>
      <c r="J172" s="47">
        <v>0</v>
      </c>
      <c r="K172" s="37">
        <v>0</v>
      </c>
      <c r="L172" s="43">
        <v>0</v>
      </c>
      <c r="M172" s="43">
        <v>0</v>
      </c>
      <c r="N172" s="49">
        <v>0</v>
      </c>
      <c r="O172" s="137">
        <v>1650</v>
      </c>
      <c r="P172" s="137">
        <v>1</v>
      </c>
      <c r="Q172" s="182" t="s">
        <v>492</v>
      </c>
      <c r="R172" s="5">
        <v>1133</v>
      </c>
      <c r="S172" s="149">
        <v>1133</v>
      </c>
      <c r="T172" s="149">
        <v>0</v>
      </c>
      <c r="U172" s="150">
        <v>0</v>
      </c>
      <c r="V172" s="5" t="e">
        <v>#REF!</v>
      </c>
      <c r="W172" s="5" t="e">
        <v>#REF!</v>
      </c>
      <c r="X172" s="5"/>
      <c r="Y172" s="5"/>
      <c r="Z172" s="5"/>
      <c r="AA172" s="5"/>
      <c r="AB172" s="5"/>
      <c r="AC172" s="5"/>
      <c r="AD172" s="5"/>
      <c r="AE172" s="5"/>
      <c r="AF172" s="5"/>
      <c r="AG172" s="5"/>
      <c r="AH172" s="5"/>
      <c r="AI172" s="5"/>
      <c r="AJ172" s="5"/>
      <c r="AK172" s="5"/>
    </row>
    <row r="173" spans="1:37" ht="15" customHeight="1" hidden="1">
      <c r="A173" s="70" t="s">
        <v>290</v>
      </c>
      <c r="B173" s="193" t="s">
        <v>643</v>
      </c>
      <c r="C173" s="45">
        <v>0</v>
      </c>
      <c r="D173" s="42">
        <v>0</v>
      </c>
      <c r="E173" s="252"/>
      <c r="F173" s="29" t="s">
        <v>596</v>
      </c>
      <c r="G173" s="36"/>
      <c r="H173" s="36"/>
      <c r="I173" s="36"/>
      <c r="J173" s="47">
        <v>0</v>
      </c>
      <c r="K173" s="37">
        <v>0</v>
      </c>
      <c r="L173" s="43">
        <v>0</v>
      </c>
      <c r="M173" s="43">
        <v>0</v>
      </c>
      <c r="N173" s="49">
        <v>0</v>
      </c>
      <c r="O173" s="137">
        <v>1650</v>
      </c>
      <c r="P173" s="137">
        <v>1</v>
      </c>
      <c r="Q173" s="182" t="s">
        <v>492</v>
      </c>
      <c r="R173" s="5">
        <v>0</v>
      </c>
      <c r="S173" s="149">
        <v>0</v>
      </c>
      <c r="T173" s="149">
        <v>0</v>
      </c>
      <c r="U173" s="150">
        <v>0</v>
      </c>
      <c r="V173" s="5" t="e">
        <v>#REF!</v>
      </c>
      <c r="W173" s="5" t="e">
        <v>#REF!</v>
      </c>
      <c r="X173" s="5"/>
      <c r="Y173" s="5"/>
      <c r="Z173" s="5"/>
      <c r="AA173" s="5"/>
      <c r="AB173" s="5"/>
      <c r="AC173" s="5"/>
      <c r="AD173" s="5"/>
      <c r="AE173" s="5"/>
      <c r="AF173" s="5"/>
      <c r="AG173" s="5"/>
      <c r="AH173" s="5"/>
      <c r="AI173" s="5"/>
      <c r="AJ173" s="5"/>
      <c r="AK173" s="5"/>
    </row>
    <row r="174" spans="1:37" ht="15" customHeight="1">
      <c r="A174" s="70" t="s">
        <v>292</v>
      </c>
      <c r="B174" s="70" t="s">
        <v>293</v>
      </c>
      <c r="C174" s="45">
        <v>0</v>
      </c>
      <c r="D174" s="42">
        <v>0</v>
      </c>
      <c r="E174" s="252"/>
      <c r="F174" s="29" t="s">
        <v>596</v>
      </c>
      <c r="G174" s="36"/>
      <c r="H174" s="36"/>
      <c r="I174" s="253"/>
      <c r="J174" s="47">
        <v>0</v>
      </c>
      <c r="K174" s="37">
        <v>0</v>
      </c>
      <c r="L174" s="43">
        <v>0</v>
      </c>
      <c r="M174" s="43">
        <v>0</v>
      </c>
      <c r="N174" s="49">
        <v>0</v>
      </c>
      <c r="O174" s="137">
        <v>5300</v>
      </c>
      <c r="P174" s="137">
        <v>1</v>
      </c>
      <c r="Q174" s="182" t="s">
        <v>492</v>
      </c>
      <c r="R174" s="5">
        <v>0</v>
      </c>
      <c r="S174" s="149">
        <v>0</v>
      </c>
      <c r="T174" s="149">
        <v>0</v>
      </c>
      <c r="U174" s="150">
        <v>0</v>
      </c>
      <c r="V174" s="5" t="e">
        <v>#REF!</v>
      </c>
      <c r="W174" s="5" t="e">
        <v>#REF!</v>
      </c>
      <c r="X174" s="5"/>
      <c r="Y174" s="5"/>
      <c r="Z174" s="5"/>
      <c r="AA174" s="5"/>
      <c r="AB174" s="5"/>
      <c r="AC174" s="5"/>
      <c r="AD174" s="5"/>
      <c r="AE174" s="5"/>
      <c r="AF174" s="5"/>
      <c r="AG174" s="5"/>
      <c r="AH174" s="5"/>
      <c r="AI174" s="5"/>
      <c r="AJ174" s="5"/>
      <c r="AK174" s="5"/>
    </row>
    <row r="175" spans="1:37" ht="15" customHeight="1">
      <c r="A175" s="70" t="s">
        <v>584</v>
      </c>
      <c r="B175" s="70" t="s">
        <v>585</v>
      </c>
      <c r="C175" s="45">
        <v>0</v>
      </c>
      <c r="D175" s="42">
        <v>0</v>
      </c>
      <c r="E175" s="252"/>
      <c r="F175" s="29" t="s">
        <v>596</v>
      </c>
      <c r="G175" s="36"/>
      <c r="H175" s="36"/>
      <c r="I175" s="253"/>
      <c r="J175" s="47">
        <v>0</v>
      </c>
      <c r="K175" s="37">
        <v>0</v>
      </c>
      <c r="L175" s="43">
        <v>0</v>
      </c>
      <c r="M175" s="43">
        <v>0</v>
      </c>
      <c r="N175" s="49">
        <v>0</v>
      </c>
      <c r="O175" s="137">
        <v>4000</v>
      </c>
      <c r="P175" s="137">
        <v>1</v>
      </c>
      <c r="Q175" s="182" t="s">
        <v>492</v>
      </c>
      <c r="R175" s="5">
        <v>0</v>
      </c>
      <c r="S175" s="149">
        <v>0</v>
      </c>
      <c r="T175" s="149">
        <v>0</v>
      </c>
      <c r="U175" s="150">
        <v>0</v>
      </c>
      <c r="V175" s="5" t="e">
        <v>#REF!</v>
      </c>
      <c r="W175" s="5" t="e">
        <v>#REF!</v>
      </c>
      <c r="X175" s="5"/>
      <c r="Y175" s="5"/>
      <c r="Z175" s="5"/>
      <c r="AA175" s="5"/>
      <c r="AB175" s="5"/>
      <c r="AC175" s="5"/>
      <c r="AD175" s="5"/>
      <c r="AE175" s="5"/>
      <c r="AF175" s="5"/>
      <c r="AG175" s="5"/>
      <c r="AH175" s="5"/>
      <c r="AI175" s="5"/>
      <c r="AJ175" s="5"/>
      <c r="AK175" s="5"/>
    </row>
    <row r="176" spans="1:37" ht="15" customHeight="1" hidden="1">
      <c r="A176" s="254" t="s">
        <v>586</v>
      </c>
      <c r="B176" s="254" t="s">
        <v>587</v>
      </c>
      <c r="C176" s="45">
        <v>0</v>
      </c>
      <c r="D176" s="42">
        <v>0</v>
      </c>
      <c r="E176" s="252"/>
      <c r="F176" s="29" t="s">
        <v>596</v>
      </c>
      <c r="G176" s="36"/>
      <c r="H176" s="36"/>
      <c r="I176" s="36"/>
      <c r="J176" s="47">
        <v>0</v>
      </c>
      <c r="K176" s="37">
        <v>0</v>
      </c>
      <c r="L176" s="43">
        <v>0</v>
      </c>
      <c r="M176" s="43">
        <v>0</v>
      </c>
      <c r="N176" s="49">
        <v>0</v>
      </c>
      <c r="O176" s="137">
        <v>4000</v>
      </c>
      <c r="P176" s="137">
        <v>1</v>
      </c>
      <c r="Q176" s="182" t="s">
        <v>492</v>
      </c>
      <c r="R176" s="5">
        <v>0</v>
      </c>
      <c r="S176" s="149">
        <v>0</v>
      </c>
      <c r="T176" s="149">
        <v>0</v>
      </c>
      <c r="U176" s="150">
        <v>0</v>
      </c>
      <c r="V176" s="5" t="e">
        <v>#REF!</v>
      </c>
      <c r="W176" s="5" t="e">
        <v>#REF!</v>
      </c>
      <c r="X176" s="5"/>
      <c r="Y176" s="5"/>
      <c r="Z176" s="5"/>
      <c r="AA176" s="5"/>
      <c r="AB176" s="5"/>
      <c r="AC176" s="5"/>
      <c r="AD176" s="5"/>
      <c r="AE176" s="5"/>
      <c r="AF176" s="5"/>
      <c r="AG176" s="5"/>
      <c r="AH176" s="5"/>
      <c r="AI176" s="5"/>
      <c r="AJ176" s="5"/>
      <c r="AK176" s="5"/>
    </row>
    <row r="177" spans="1:37" ht="15" customHeight="1">
      <c r="A177" s="70" t="s">
        <v>600</v>
      </c>
      <c r="B177" s="70" t="s">
        <v>601</v>
      </c>
      <c r="C177" s="45">
        <v>0</v>
      </c>
      <c r="D177" s="42">
        <v>-700</v>
      </c>
      <c r="E177" s="252"/>
      <c r="F177" s="29" t="s">
        <v>596</v>
      </c>
      <c r="G177" s="36"/>
      <c r="H177" s="36"/>
      <c r="I177" s="253"/>
      <c r="J177" s="47">
        <v>0</v>
      </c>
      <c r="K177" s="37">
        <v>700</v>
      </c>
      <c r="L177" s="43">
        <v>0</v>
      </c>
      <c r="M177" s="43">
        <v>0</v>
      </c>
      <c r="N177" s="49">
        <v>-700</v>
      </c>
      <c r="O177" s="137">
        <v>4000</v>
      </c>
      <c r="P177" s="137">
        <v>1</v>
      </c>
      <c r="Q177" s="182" t="s">
        <v>492</v>
      </c>
      <c r="R177" s="5">
        <v>0</v>
      </c>
      <c r="S177" s="149">
        <v>0</v>
      </c>
      <c r="T177" s="149">
        <v>0</v>
      </c>
      <c r="U177" s="150">
        <v>0</v>
      </c>
      <c r="V177" s="5" t="e">
        <v>#REF!</v>
      </c>
      <c r="W177" s="5" t="e">
        <v>#REF!</v>
      </c>
      <c r="X177" s="5"/>
      <c r="Y177" s="5"/>
      <c r="Z177" s="5"/>
      <c r="AA177" s="5"/>
      <c r="AB177" s="5"/>
      <c r="AC177" s="5"/>
      <c r="AD177" s="5"/>
      <c r="AE177" s="5"/>
      <c r="AF177" s="5"/>
      <c r="AG177" s="5"/>
      <c r="AH177" s="5"/>
      <c r="AI177" s="5"/>
      <c r="AJ177" s="5"/>
      <c r="AK177" s="5"/>
    </row>
    <row r="178" spans="1:37" ht="15" customHeight="1">
      <c r="A178" s="70" t="s">
        <v>588</v>
      </c>
      <c r="B178" s="70" t="s">
        <v>703</v>
      </c>
      <c r="C178" s="45">
        <v>0</v>
      </c>
      <c r="D178" s="42">
        <v>0</v>
      </c>
      <c r="E178" s="252"/>
      <c r="F178" s="29" t="s">
        <v>596</v>
      </c>
      <c r="G178" s="39"/>
      <c r="H178" s="39"/>
      <c r="I178" s="40"/>
      <c r="J178" s="47">
        <v>0</v>
      </c>
      <c r="K178" s="37">
        <v>0</v>
      </c>
      <c r="L178" s="43">
        <v>0</v>
      </c>
      <c r="M178" s="43">
        <v>0</v>
      </c>
      <c r="N178" s="49">
        <v>0</v>
      </c>
      <c r="O178" s="137">
        <v>4000</v>
      </c>
      <c r="P178" s="137">
        <v>1</v>
      </c>
      <c r="Q178" s="182" t="s">
        <v>492</v>
      </c>
      <c r="R178" s="5">
        <v>0</v>
      </c>
      <c r="S178" s="149">
        <v>0</v>
      </c>
      <c r="T178" s="149">
        <v>0</v>
      </c>
      <c r="U178" s="150">
        <v>0</v>
      </c>
      <c r="V178" s="5" t="e">
        <v>#REF!</v>
      </c>
      <c r="W178" s="5" t="e">
        <v>#REF!</v>
      </c>
      <c r="X178" s="5"/>
      <c r="Y178" s="5"/>
      <c r="Z178" s="5"/>
      <c r="AA178" s="5"/>
      <c r="AB178" s="5"/>
      <c r="AC178" s="5"/>
      <c r="AD178" s="5"/>
      <c r="AE178" s="5"/>
      <c r="AF178" s="5"/>
      <c r="AG178" s="5"/>
      <c r="AH178" s="5"/>
      <c r="AI178" s="5"/>
      <c r="AJ178" s="5"/>
      <c r="AK178" s="5"/>
    </row>
    <row r="179" spans="1:37" ht="15" customHeight="1">
      <c r="A179" s="70" t="s">
        <v>590</v>
      </c>
      <c r="B179" s="70" t="s">
        <v>704</v>
      </c>
      <c r="C179" s="45">
        <v>0</v>
      </c>
      <c r="D179" s="42">
        <v>0</v>
      </c>
      <c r="E179" s="252"/>
      <c r="F179" s="29" t="s">
        <v>596</v>
      </c>
      <c r="G179" s="39"/>
      <c r="H179" s="39"/>
      <c r="I179" s="40"/>
      <c r="J179" s="47">
        <v>0</v>
      </c>
      <c r="K179" s="37">
        <v>0</v>
      </c>
      <c r="L179" s="43">
        <v>0</v>
      </c>
      <c r="M179" s="43">
        <v>0</v>
      </c>
      <c r="N179" s="49">
        <v>0</v>
      </c>
      <c r="O179" s="137">
        <v>4000</v>
      </c>
      <c r="P179" s="137">
        <v>1</v>
      </c>
      <c r="Q179" s="182" t="s">
        <v>492</v>
      </c>
      <c r="R179" s="5">
        <v>0</v>
      </c>
      <c r="S179" s="149">
        <v>0</v>
      </c>
      <c r="T179" s="149">
        <v>0</v>
      </c>
      <c r="U179" s="150">
        <v>0</v>
      </c>
      <c r="V179" s="5" t="e">
        <v>#REF!</v>
      </c>
      <c r="W179" s="5" t="e">
        <v>#REF!</v>
      </c>
      <c r="X179" s="5"/>
      <c r="Y179" s="5"/>
      <c r="Z179" s="5"/>
      <c r="AA179" s="5"/>
      <c r="AB179" s="5"/>
      <c r="AC179" s="5"/>
      <c r="AD179" s="5"/>
      <c r="AE179" s="5"/>
      <c r="AF179" s="5"/>
      <c r="AG179" s="5"/>
      <c r="AH179" s="5"/>
      <c r="AI179" s="5"/>
      <c r="AJ179" s="5"/>
      <c r="AK179" s="5"/>
    </row>
    <row r="180" spans="1:37" ht="15" customHeight="1">
      <c r="A180" s="70" t="s">
        <v>570</v>
      </c>
      <c r="B180" s="70" t="s">
        <v>571</v>
      </c>
      <c r="C180" s="45">
        <v>0</v>
      </c>
      <c r="D180" s="42">
        <v>2700.89</v>
      </c>
      <c r="E180" s="252"/>
      <c r="F180" s="29" t="s">
        <v>596</v>
      </c>
      <c r="G180" s="39"/>
      <c r="H180" s="39">
        <v>2700.89</v>
      </c>
      <c r="I180" s="40"/>
      <c r="J180" s="47">
        <v>0</v>
      </c>
      <c r="K180" s="37">
        <v>0</v>
      </c>
      <c r="L180" s="43">
        <v>0</v>
      </c>
      <c r="M180" s="43">
        <v>0</v>
      </c>
      <c r="N180" s="49">
        <v>0</v>
      </c>
      <c r="O180" s="137">
        <v>4000</v>
      </c>
      <c r="P180" s="137">
        <v>1</v>
      </c>
      <c r="Q180" s="182" t="s">
        <v>492</v>
      </c>
      <c r="R180" s="5">
        <v>0</v>
      </c>
      <c r="S180" s="149">
        <v>0</v>
      </c>
      <c r="T180" s="149">
        <v>0</v>
      </c>
      <c r="U180" s="150">
        <v>0</v>
      </c>
      <c r="V180" s="5" t="e">
        <v>#REF!</v>
      </c>
      <c r="W180" s="5" t="e">
        <v>#REF!</v>
      </c>
      <c r="X180" s="5"/>
      <c r="Y180" s="5"/>
      <c r="Z180" s="5"/>
      <c r="AA180" s="5"/>
      <c r="AB180" s="5"/>
      <c r="AC180" s="5"/>
      <c r="AD180" s="5"/>
      <c r="AE180" s="5"/>
      <c r="AF180" s="5"/>
      <c r="AG180" s="5"/>
      <c r="AH180" s="5"/>
      <c r="AI180" s="5"/>
      <c r="AJ180" s="5"/>
      <c r="AK180" s="5"/>
    </row>
    <row r="181" spans="1:37" ht="15" customHeight="1">
      <c r="A181" s="70" t="s">
        <v>296</v>
      </c>
      <c r="B181" s="70" t="s">
        <v>705</v>
      </c>
      <c r="C181" s="45">
        <v>0</v>
      </c>
      <c r="D181" s="42">
        <v>1569.12</v>
      </c>
      <c r="E181" s="252"/>
      <c r="F181" s="29" t="s">
        <v>596</v>
      </c>
      <c r="G181" s="39"/>
      <c r="H181" s="39">
        <v>1569.12</v>
      </c>
      <c r="I181" s="255"/>
      <c r="J181" s="47">
        <v>0</v>
      </c>
      <c r="K181" s="37">
        <v>0</v>
      </c>
      <c r="L181" s="43">
        <v>0</v>
      </c>
      <c r="M181" s="43">
        <v>0</v>
      </c>
      <c r="N181" s="49">
        <v>0</v>
      </c>
      <c r="O181" s="137">
        <v>4000</v>
      </c>
      <c r="P181" s="137">
        <v>1</v>
      </c>
      <c r="Q181" s="182" t="s">
        <v>492</v>
      </c>
      <c r="R181" s="5">
        <v>0</v>
      </c>
      <c r="S181" s="149">
        <v>0</v>
      </c>
      <c r="T181" s="149">
        <v>0</v>
      </c>
      <c r="U181" s="150">
        <v>0</v>
      </c>
      <c r="V181" s="5" t="e">
        <v>#REF!</v>
      </c>
      <c r="W181" s="5" t="e">
        <v>#REF!</v>
      </c>
      <c r="X181" s="5"/>
      <c r="Y181" s="5"/>
      <c r="Z181" s="5"/>
      <c r="AA181" s="5"/>
      <c r="AB181" s="5"/>
      <c r="AC181" s="5"/>
      <c r="AD181" s="5"/>
      <c r="AE181" s="5"/>
      <c r="AF181" s="5"/>
      <c r="AG181" s="5"/>
      <c r="AH181" s="5"/>
      <c r="AI181" s="5"/>
      <c r="AJ181" s="5"/>
      <c r="AK181" s="5"/>
    </row>
    <row r="182" spans="1:37" ht="15" customHeight="1" hidden="1">
      <c r="A182" s="70" t="s">
        <v>298</v>
      </c>
      <c r="B182" s="70" t="s">
        <v>706</v>
      </c>
      <c r="C182" s="45">
        <v>0</v>
      </c>
      <c r="D182" s="42">
        <v>0</v>
      </c>
      <c r="E182" s="252"/>
      <c r="F182" s="29" t="s">
        <v>596</v>
      </c>
      <c r="G182" s="39"/>
      <c r="H182" s="39"/>
      <c r="I182" s="40"/>
      <c r="J182" s="47">
        <v>0</v>
      </c>
      <c r="K182" s="37">
        <v>0</v>
      </c>
      <c r="L182" s="43">
        <v>0</v>
      </c>
      <c r="M182" s="43">
        <v>0</v>
      </c>
      <c r="N182" s="49">
        <v>0</v>
      </c>
      <c r="O182" s="137">
        <v>4000</v>
      </c>
      <c r="P182" s="137">
        <v>1</v>
      </c>
      <c r="Q182" s="182" t="s">
        <v>492</v>
      </c>
      <c r="R182" s="5">
        <v>0</v>
      </c>
      <c r="S182" s="149">
        <v>0</v>
      </c>
      <c r="T182" s="149">
        <v>0</v>
      </c>
      <c r="U182" s="150">
        <v>0</v>
      </c>
      <c r="V182" s="5" t="e">
        <v>#REF!</v>
      </c>
      <c r="W182" s="5" t="e">
        <v>#REF!</v>
      </c>
      <c r="X182" s="5"/>
      <c r="Y182" s="5"/>
      <c r="Z182" s="5"/>
      <c r="AA182" s="5"/>
      <c r="AB182" s="5"/>
      <c r="AC182" s="5"/>
      <c r="AD182" s="5"/>
      <c r="AE182" s="5"/>
      <c r="AF182" s="5"/>
      <c r="AG182" s="5"/>
      <c r="AH182" s="5"/>
      <c r="AI182" s="5"/>
      <c r="AJ182" s="5"/>
      <c r="AK182" s="5"/>
    </row>
    <row r="183" spans="1:37" ht="15" customHeight="1" hidden="1">
      <c r="A183" s="70" t="s">
        <v>602</v>
      </c>
      <c r="B183" s="70" t="s">
        <v>707</v>
      </c>
      <c r="C183" s="45">
        <v>0</v>
      </c>
      <c r="D183" s="42">
        <v>0</v>
      </c>
      <c r="E183" s="252"/>
      <c r="F183" s="29" t="s">
        <v>596</v>
      </c>
      <c r="G183" s="39"/>
      <c r="H183" s="39"/>
      <c r="I183" s="40"/>
      <c r="J183" s="47">
        <v>0</v>
      </c>
      <c r="K183" s="37">
        <v>0</v>
      </c>
      <c r="L183" s="43">
        <v>0</v>
      </c>
      <c r="M183" s="43">
        <v>0</v>
      </c>
      <c r="N183" s="49">
        <v>0</v>
      </c>
      <c r="O183" s="137">
        <v>4000</v>
      </c>
      <c r="P183" s="137">
        <v>1</v>
      </c>
      <c r="Q183" s="182" t="s">
        <v>492</v>
      </c>
      <c r="R183" s="5">
        <v>0</v>
      </c>
      <c r="S183" s="149">
        <v>0</v>
      </c>
      <c r="T183" s="149">
        <v>0</v>
      </c>
      <c r="U183" s="150">
        <v>0</v>
      </c>
      <c r="V183" s="5" t="e">
        <v>#REF!</v>
      </c>
      <c r="W183" s="5" t="e">
        <v>#REF!</v>
      </c>
      <c r="X183" s="5"/>
      <c r="Y183" s="5"/>
      <c r="Z183" s="5"/>
      <c r="AA183" s="5"/>
      <c r="AB183" s="5"/>
      <c r="AC183" s="5"/>
      <c r="AD183" s="5"/>
      <c r="AE183" s="5"/>
      <c r="AF183" s="5"/>
      <c r="AG183" s="5"/>
      <c r="AH183" s="5"/>
      <c r="AI183" s="5"/>
      <c r="AJ183" s="5"/>
      <c r="AK183" s="5"/>
    </row>
    <row r="184" spans="1:37" ht="15" customHeight="1">
      <c r="A184" s="70" t="s">
        <v>300</v>
      </c>
      <c r="B184" s="70" t="s">
        <v>708</v>
      </c>
      <c r="C184" s="45">
        <v>0</v>
      </c>
      <c r="D184" s="42">
        <v>0</v>
      </c>
      <c r="E184" s="252"/>
      <c r="F184" s="29" t="s">
        <v>596</v>
      </c>
      <c r="G184" s="39"/>
      <c r="H184" s="39"/>
      <c r="I184" s="255"/>
      <c r="J184" s="47">
        <v>0</v>
      </c>
      <c r="K184" s="37">
        <v>0</v>
      </c>
      <c r="L184" s="43">
        <v>0</v>
      </c>
      <c r="M184" s="43">
        <v>0</v>
      </c>
      <c r="N184" s="49">
        <v>0</v>
      </c>
      <c r="O184" s="137">
        <v>4000</v>
      </c>
      <c r="P184" s="137">
        <v>1</v>
      </c>
      <c r="Q184" s="182" t="s">
        <v>492</v>
      </c>
      <c r="R184" s="5">
        <v>0</v>
      </c>
      <c r="S184" s="149">
        <v>0</v>
      </c>
      <c r="T184" s="149">
        <v>0</v>
      </c>
      <c r="U184" s="150">
        <v>0</v>
      </c>
      <c r="V184" s="5" t="e">
        <v>#REF!</v>
      </c>
      <c r="W184" s="5" t="e">
        <v>#REF!</v>
      </c>
      <c r="X184" s="5"/>
      <c r="Y184" s="5"/>
      <c r="Z184" s="5"/>
      <c r="AA184" s="5"/>
      <c r="AB184" s="5"/>
      <c r="AC184" s="5"/>
      <c r="AD184" s="5"/>
      <c r="AE184" s="5"/>
      <c r="AF184" s="5"/>
      <c r="AG184" s="5"/>
      <c r="AH184" s="5"/>
      <c r="AI184" s="5"/>
      <c r="AJ184" s="5"/>
      <c r="AK184" s="5"/>
    </row>
    <row r="185" spans="1:37" ht="15" customHeight="1">
      <c r="A185" s="70" t="s">
        <v>302</v>
      </c>
      <c r="B185" s="70" t="s">
        <v>709</v>
      </c>
      <c r="C185" s="45">
        <v>0</v>
      </c>
      <c r="D185" s="42">
        <v>0</v>
      </c>
      <c r="E185" s="252"/>
      <c r="F185" s="29" t="s">
        <v>596</v>
      </c>
      <c r="G185" s="39"/>
      <c r="H185" s="39"/>
      <c r="I185" s="255"/>
      <c r="J185" s="47">
        <v>0</v>
      </c>
      <c r="K185" s="37">
        <v>0</v>
      </c>
      <c r="L185" s="43">
        <v>0</v>
      </c>
      <c r="M185" s="43">
        <v>0</v>
      </c>
      <c r="N185" s="49">
        <v>0</v>
      </c>
      <c r="O185" s="137">
        <v>4000</v>
      </c>
      <c r="P185" s="137">
        <v>1</v>
      </c>
      <c r="Q185" s="182" t="s">
        <v>492</v>
      </c>
      <c r="R185" s="5">
        <v>0</v>
      </c>
      <c r="S185" s="149">
        <v>0</v>
      </c>
      <c r="T185" s="149">
        <v>0</v>
      </c>
      <c r="U185" s="150">
        <v>0</v>
      </c>
      <c r="V185" s="5" t="e">
        <v>#REF!</v>
      </c>
      <c r="W185" s="5" t="e">
        <v>#REF!</v>
      </c>
      <c r="X185" s="5"/>
      <c r="Y185" s="5"/>
      <c r="Z185" s="5"/>
      <c r="AA185" s="5"/>
      <c r="AB185" s="5"/>
      <c r="AC185" s="5"/>
      <c r="AD185" s="5"/>
      <c r="AE185" s="5"/>
      <c r="AF185" s="5"/>
      <c r="AG185" s="5"/>
      <c r="AH185" s="5"/>
      <c r="AI185" s="5"/>
      <c r="AJ185" s="5"/>
      <c r="AK185" s="5"/>
    </row>
    <row r="186" spans="1:37" ht="15" customHeight="1">
      <c r="A186" s="70" t="s">
        <v>304</v>
      </c>
      <c r="B186" s="70" t="s">
        <v>572</v>
      </c>
      <c r="C186" s="45">
        <v>0</v>
      </c>
      <c r="D186" s="42">
        <v>17.58</v>
      </c>
      <c r="E186" s="252"/>
      <c r="F186" s="29" t="s">
        <v>596</v>
      </c>
      <c r="G186" s="39"/>
      <c r="H186" s="39"/>
      <c r="I186" s="255"/>
      <c r="J186" s="47">
        <v>17.58</v>
      </c>
      <c r="K186" s="37">
        <v>0</v>
      </c>
      <c r="L186" s="43">
        <v>0</v>
      </c>
      <c r="M186" s="43">
        <v>0</v>
      </c>
      <c r="N186" s="49">
        <v>17.58</v>
      </c>
      <c r="O186" s="137">
        <v>4000</v>
      </c>
      <c r="P186" s="137">
        <v>1</v>
      </c>
      <c r="Q186" s="182" t="s">
        <v>492</v>
      </c>
      <c r="R186" s="5">
        <v>0</v>
      </c>
      <c r="S186" s="149">
        <v>0</v>
      </c>
      <c r="T186" s="149">
        <v>0</v>
      </c>
      <c r="U186" s="150">
        <v>0</v>
      </c>
      <c r="V186" s="5" t="e">
        <v>#REF!</v>
      </c>
      <c r="W186" s="5" t="e">
        <v>#REF!</v>
      </c>
      <c r="X186" s="5"/>
      <c r="Y186" s="5"/>
      <c r="Z186" s="5"/>
      <c r="AA186" s="5"/>
      <c r="AB186" s="5"/>
      <c r="AC186" s="5"/>
      <c r="AD186" s="5"/>
      <c r="AE186" s="5"/>
      <c r="AF186" s="5"/>
      <c r="AG186" s="5"/>
      <c r="AH186" s="5"/>
      <c r="AI186" s="5"/>
      <c r="AJ186" s="5"/>
      <c r="AK186" s="5"/>
    </row>
    <row r="187" spans="1:37" ht="15" customHeight="1" hidden="1">
      <c r="A187" s="70" t="s">
        <v>306</v>
      </c>
      <c r="B187" s="70" t="s">
        <v>307</v>
      </c>
      <c r="C187" s="45">
        <v>0</v>
      </c>
      <c r="D187" s="42">
        <v>11.35</v>
      </c>
      <c r="E187" s="252"/>
      <c r="F187" s="29" t="s">
        <v>596</v>
      </c>
      <c r="G187" s="39"/>
      <c r="H187" s="39"/>
      <c r="I187" s="40"/>
      <c r="J187" s="47">
        <v>11.35</v>
      </c>
      <c r="K187" s="37">
        <v>0</v>
      </c>
      <c r="L187" s="43">
        <v>0</v>
      </c>
      <c r="M187" s="43">
        <v>0</v>
      </c>
      <c r="N187" s="49">
        <v>11.35</v>
      </c>
      <c r="O187" s="137">
        <v>4000</v>
      </c>
      <c r="P187" s="137">
        <v>1</v>
      </c>
      <c r="Q187" s="182" t="s">
        <v>492</v>
      </c>
      <c r="R187" s="5">
        <v>0</v>
      </c>
      <c r="S187" s="149">
        <v>0</v>
      </c>
      <c r="T187" s="149">
        <v>0</v>
      </c>
      <c r="U187" s="150">
        <v>0</v>
      </c>
      <c r="V187" s="5" t="e">
        <v>#REF!</v>
      </c>
      <c r="W187" s="5" t="e">
        <v>#REF!</v>
      </c>
      <c r="X187" s="5"/>
      <c r="Y187" s="5"/>
      <c r="Z187" s="5"/>
      <c r="AA187" s="5"/>
      <c r="AB187" s="5"/>
      <c r="AC187" s="5"/>
      <c r="AD187" s="5"/>
      <c r="AE187" s="5"/>
      <c r="AF187" s="5"/>
      <c r="AG187" s="5"/>
      <c r="AH187" s="5"/>
      <c r="AI187" s="5"/>
      <c r="AJ187" s="5"/>
      <c r="AK187" s="5"/>
    </row>
    <row r="188" spans="1:37" ht="15" customHeight="1" hidden="1">
      <c r="A188" s="70" t="s">
        <v>308</v>
      </c>
      <c r="B188" s="70" t="s">
        <v>309</v>
      </c>
      <c r="C188" s="45">
        <v>0</v>
      </c>
      <c r="D188" s="42">
        <v>10.67</v>
      </c>
      <c r="E188" s="252"/>
      <c r="F188" s="29" t="s">
        <v>596</v>
      </c>
      <c r="G188" s="39"/>
      <c r="H188" s="39"/>
      <c r="I188" s="40"/>
      <c r="J188" s="47">
        <v>10.67</v>
      </c>
      <c r="K188" s="37">
        <v>0</v>
      </c>
      <c r="L188" s="43">
        <v>0</v>
      </c>
      <c r="M188" s="43">
        <v>0</v>
      </c>
      <c r="N188" s="49">
        <v>10.67</v>
      </c>
      <c r="O188" s="137">
        <v>4000</v>
      </c>
      <c r="P188" s="137">
        <v>1</v>
      </c>
      <c r="Q188" s="182" t="s">
        <v>492</v>
      </c>
      <c r="R188" s="5">
        <v>0</v>
      </c>
      <c r="S188" s="149">
        <v>0</v>
      </c>
      <c r="T188" s="149">
        <v>0</v>
      </c>
      <c r="U188" s="150">
        <v>0</v>
      </c>
      <c r="V188" s="5" t="e">
        <v>#REF!</v>
      </c>
      <c r="W188" s="5" t="e">
        <v>#REF!</v>
      </c>
      <c r="X188" s="5"/>
      <c r="Y188" s="5"/>
      <c r="Z188" s="5"/>
      <c r="AA188" s="5"/>
      <c r="AB188" s="5"/>
      <c r="AC188" s="5"/>
      <c r="AD188" s="5"/>
      <c r="AE188" s="5"/>
      <c r="AF188" s="5"/>
      <c r="AG188" s="5"/>
      <c r="AH188" s="5"/>
      <c r="AI188" s="5"/>
      <c r="AJ188" s="5"/>
      <c r="AK188" s="5"/>
    </row>
    <row r="189" spans="1:37" ht="15" customHeight="1">
      <c r="A189" s="70" t="s">
        <v>310</v>
      </c>
      <c r="B189" s="70" t="s">
        <v>710</v>
      </c>
      <c r="C189" s="45">
        <v>0</v>
      </c>
      <c r="D189" s="42">
        <v>3884.77</v>
      </c>
      <c r="E189" s="252"/>
      <c r="F189" s="29" t="s">
        <v>596</v>
      </c>
      <c r="G189" s="39"/>
      <c r="H189" s="39">
        <v>3884.77</v>
      </c>
      <c r="I189" s="255"/>
      <c r="J189" s="47">
        <v>0</v>
      </c>
      <c r="K189" s="37">
        <v>0</v>
      </c>
      <c r="L189" s="43">
        <v>0</v>
      </c>
      <c r="M189" s="43">
        <v>0</v>
      </c>
      <c r="N189" s="49">
        <v>0</v>
      </c>
      <c r="O189" s="137">
        <v>4000</v>
      </c>
      <c r="P189" s="137">
        <v>1</v>
      </c>
      <c r="Q189" s="182" t="s">
        <v>492</v>
      </c>
      <c r="R189" s="5">
        <v>0</v>
      </c>
      <c r="S189" s="149">
        <v>0</v>
      </c>
      <c r="T189" s="149">
        <v>0</v>
      </c>
      <c r="U189" s="150">
        <v>0</v>
      </c>
      <c r="V189" s="5" t="e">
        <v>#REF!</v>
      </c>
      <c r="W189" s="5" t="e">
        <v>#REF!</v>
      </c>
      <c r="X189" s="5"/>
      <c r="Y189" s="5"/>
      <c r="Z189" s="5"/>
      <c r="AA189" s="5"/>
      <c r="AB189" s="5"/>
      <c r="AC189" s="5"/>
      <c r="AD189" s="5"/>
      <c r="AE189" s="5"/>
      <c r="AF189" s="5"/>
      <c r="AG189" s="5"/>
      <c r="AH189" s="5"/>
      <c r="AI189" s="5"/>
      <c r="AJ189" s="5"/>
      <c r="AK189" s="5"/>
    </row>
    <row r="190" spans="1:37" ht="15" customHeight="1">
      <c r="A190" s="70" t="s">
        <v>312</v>
      </c>
      <c r="B190" s="70" t="s">
        <v>313</v>
      </c>
      <c r="C190" s="45">
        <v>1708</v>
      </c>
      <c r="D190" s="42">
        <v>1801.24</v>
      </c>
      <c r="E190" s="252"/>
      <c r="F190" s="29">
        <v>-0.054590163934426235</v>
      </c>
      <c r="G190" s="39"/>
      <c r="H190" s="39">
        <v>1801.24</v>
      </c>
      <c r="I190" s="255"/>
      <c r="J190" s="47">
        <v>0</v>
      </c>
      <c r="K190" s="37">
        <v>0</v>
      </c>
      <c r="L190" s="43">
        <v>0</v>
      </c>
      <c r="M190" s="43">
        <v>0</v>
      </c>
      <c r="N190" s="49">
        <v>0</v>
      </c>
      <c r="O190" s="137">
        <v>4000</v>
      </c>
      <c r="P190" s="137">
        <v>1</v>
      </c>
      <c r="Q190" s="182" t="s">
        <v>492</v>
      </c>
      <c r="R190" s="5">
        <v>1708</v>
      </c>
      <c r="S190" s="149">
        <v>1708</v>
      </c>
      <c r="T190" s="149">
        <v>0</v>
      </c>
      <c r="U190" s="150">
        <v>0</v>
      </c>
      <c r="V190" s="5" t="e">
        <v>#REF!</v>
      </c>
      <c r="W190" s="5" t="e">
        <v>#REF!</v>
      </c>
      <c r="X190" s="5"/>
      <c r="Y190" s="5"/>
      <c r="Z190" s="5"/>
      <c r="AA190" s="5"/>
      <c r="AB190" s="5"/>
      <c r="AC190" s="5"/>
      <c r="AD190" s="5"/>
      <c r="AE190" s="5"/>
      <c r="AF190" s="5"/>
      <c r="AG190" s="5"/>
      <c r="AH190" s="5"/>
      <c r="AI190" s="5"/>
      <c r="AJ190" s="5"/>
      <c r="AK190" s="5"/>
    </row>
    <row r="191" spans="1:37" ht="15" customHeight="1" hidden="1">
      <c r="A191" s="70" t="s">
        <v>314</v>
      </c>
      <c r="B191" s="70" t="s">
        <v>711</v>
      </c>
      <c r="C191" s="45">
        <v>0</v>
      </c>
      <c r="D191" s="42">
        <v>0</v>
      </c>
      <c r="E191" s="252"/>
      <c r="F191" s="29" t="s">
        <v>596</v>
      </c>
      <c r="G191" s="39"/>
      <c r="H191" s="39"/>
      <c r="I191" s="40"/>
      <c r="J191" s="47">
        <v>0</v>
      </c>
      <c r="K191" s="37">
        <v>0</v>
      </c>
      <c r="L191" s="43">
        <v>0</v>
      </c>
      <c r="M191" s="43">
        <v>0</v>
      </c>
      <c r="N191" s="49">
        <v>0</v>
      </c>
      <c r="O191" s="137">
        <v>4000</v>
      </c>
      <c r="P191" s="137">
        <v>1</v>
      </c>
      <c r="Q191" s="182" t="s">
        <v>492</v>
      </c>
      <c r="R191" s="5">
        <v>0</v>
      </c>
      <c r="S191" s="149">
        <v>0</v>
      </c>
      <c r="T191" s="149">
        <v>0</v>
      </c>
      <c r="U191" s="150">
        <v>0</v>
      </c>
      <c r="V191" s="5" t="e">
        <v>#REF!</v>
      </c>
      <c r="W191" s="5" t="e">
        <v>#REF!</v>
      </c>
      <c r="X191" s="5"/>
      <c r="Y191" s="5"/>
      <c r="Z191" s="5"/>
      <c r="AA191" s="5"/>
      <c r="AB191" s="5"/>
      <c r="AC191" s="5"/>
      <c r="AD191" s="5"/>
      <c r="AE191" s="5"/>
      <c r="AF191" s="5"/>
      <c r="AG191" s="5"/>
      <c r="AH191" s="5"/>
      <c r="AI191" s="5"/>
      <c r="AJ191" s="5"/>
      <c r="AK191" s="5"/>
    </row>
    <row r="192" spans="1:37" ht="15" customHeight="1" hidden="1">
      <c r="A192" s="70" t="s">
        <v>604</v>
      </c>
      <c r="B192" s="70" t="s">
        <v>615</v>
      </c>
      <c r="C192" s="45">
        <v>0</v>
      </c>
      <c r="D192" s="42">
        <v>0</v>
      </c>
      <c r="E192" s="252"/>
      <c r="F192" s="29" t="s">
        <v>596</v>
      </c>
      <c r="G192" s="39"/>
      <c r="H192" s="39"/>
      <c r="I192" s="40"/>
      <c r="J192" s="47">
        <v>0</v>
      </c>
      <c r="K192" s="37">
        <v>0</v>
      </c>
      <c r="L192" s="43">
        <v>0</v>
      </c>
      <c r="M192" s="43">
        <v>0</v>
      </c>
      <c r="N192" s="49">
        <v>0</v>
      </c>
      <c r="O192" s="137">
        <v>4000</v>
      </c>
      <c r="P192" s="137">
        <v>1</v>
      </c>
      <c r="Q192" s="182" t="s">
        <v>492</v>
      </c>
      <c r="R192" s="5">
        <v>0</v>
      </c>
      <c r="S192" s="149">
        <v>0</v>
      </c>
      <c r="T192" s="149">
        <v>0</v>
      </c>
      <c r="U192" s="150">
        <v>0</v>
      </c>
      <c r="V192" s="5" t="e">
        <v>#REF!</v>
      </c>
      <c r="W192" s="5" t="e">
        <v>#REF!</v>
      </c>
      <c r="X192" s="5"/>
      <c r="Y192" s="5"/>
      <c r="Z192" s="5"/>
      <c r="AA192" s="5"/>
      <c r="AB192" s="5"/>
      <c r="AC192" s="5"/>
      <c r="AD192" s="5"/>
      <c r="AE192" s="5"/>
      <c r="AF192" s="5"/>
      <c r="AG192" s="5"/>
      <c r="AH192" s="5"/>
      <c r="AI192" s="5"/>
      <c r="AJ192" s="5"/>
      <c r="AK192" s="5"/>
    </row>
    <row r="193" spans="1:37" ht="15" customHeight="1" hidden="1">
      <c r="A193" s="70" t="s">
        <v>316</v>
      </c>
      <c r="B193" s="70" t="s">
        <v>712</v>
      </c>
      <c r="C193" s="45">
        <v>0</v>
      </c>
      <c r="D193" s="42">
        <v>-14220.27</v>
      </c>
      <c r="E193" s="252"/>
      <c r="F193" s="29" t="s">
        <v>596</v>
      </c>
      <c r="G193" s="39">
        <v>14220.27</v>
      </c>
      <c r="H193" s="39"/>
      <c r="I193" s="40"/>
      <c r="J193" s="47">
        <v>0</v>
      </c>
      <c r="K193" s="37">
        <v>0</v>
      </c>
      <c r="L193" s="43">
        <v>0</v>
      </c>
      <c r="M193" s="43">
        <v>0</v>
      </c>
      <c r="N193" s="49">
        <v>0</v>
      </c>
      <c r="O193" s="137">
        <v>4000</v>
      </c>
      <c r="P193" s="137">
        <v>1</v>
      </c>
      <c r="Q193" s="182" t="s">
        <v>492</v>
      </c>
      <c r="R193" s="5">
        <v>0</v>
      </c>
      <c r="S193" s="149">
        <v>0</v>
      </c>
      <c r="T193" s="149">
        <v>0</v>
      </c>
      <c r="U193" s="150">
        <v>0</v>
      </c>
      <c r="V193" s="5" t="e">
        <v>#REF!</v>
      </c>
      <c r="W193" s="5" t="e">
        <v>#REF!</v>
      </c>
      <c r="X193" s="5"/>
      <c r="Y193" s="5"/>
      <c r="Z193" s="5"/>
      <c r="AA193" s="5"/>
      <c r="AB193" s="5"/>
      <c r="AC193" s="5"/>
      <c r="AD193" s="5"/>
      <c r="AE193" s="5"/>
      <c r="AF193" s="5"/>
      <c r="AG193" s="5"/>
      <c r="AH193" s="5"/>
      <c r="AI193" s="5"/>
      <c r="AJ193" s="5"/>
      <c r="AK193" s="5"/>
    </row>
    <row r="194" spans="1:37" ht="15" customHeight="1" hidden="1">
      <c r="A194" s="70" t="s">
        <v>318</v>
      </c>
      <c r="B194" s="70" t="s">
        <v>713</v>
      </c>
      <c r="C194" s="45">
        <v>0</v>
      </c>
      <c r="D194" s="42">
        <v>69.03</v>
      </c>
      <c r="E194" s="252"/>
      <c r="F194" s="29" t="s">
        <v>596</v>
      </c>
      <c r="G194" s="39"/>
      <c r="H194" s="39"/>
      <c r="I194" s="40"/>
      <c r="J194" s="47">
        <v>69.03</v>
      </c>
      <c r="K194" s="37">
        <v>0</v>
      </c>
      <c r="L194" s="43">
        <v>0</v>
      </c>
      <c r="M194" s="43">
        <v>0</v>
      </c>
      <c r="N194" s="49">
        <v>69.03</v>
      </c>
      <c r="O194" s="137">
        <v>4000</v>
      </c>
      <c r="P194" s="137">
        <v>1</v>
      </c>
      <c r="Q194" s="182" t="s">
        <v>492</v>
      </c>
      <c r="R194" s="5">
        <v>0</v>
      </c>
      <c r="S194" s="149">
        <v>0</v>
      </c>
      <c r="T194" s="149">
        <v>0</v>
      </c>
      <c r="U194" s="150">
        <v>0</v>
      </c>
      <c r="V194" s="5" t="e">
        <v>#REF!</v>
      </c>
      <c r="W194" s="5" t="e">
        <v>#REF!</v>
      </c>
      <c r="X194" s="5"/>
      <c r="Y194" s="5"/>
      <c r="Z194" s="5"/>
      <c r="AA194" s="5"/>
      <c r="AB194" s="5"/>
      <c r="AC194" s="5"/>
      <c r="AD194" s="5"/>
      <c r="AE194" s="5"/>
      <c r="AF194" s="5"/>
      <c r="AG194" s="5"/>
      <c r="AH194" s="5"/>
      <c r="AI194" s="5"/>
      <c r="AJ194" s="5"/>
      <c r="AK194" s="5"/>
    </row>
    <row r="195" spans="1:37" ht="15" customHeight="1" hidden="1">
      <c r="A195" s="70" t="s">
        <v>606</v>
      </c>
      <c r="B195" s="70" t="s">
        <v>714</v>
      </c>
      <c r="C195" s="45">
        <v>0</v>
      </c>
      <c r="D195" s="42">
        <v>0</v>
      </c>
      <c r="E195" s="252"/>
      <c r="F195" s="29" t="s">
        <v>596</v>
      </c>
      <c r="G195" s="39"/>
      <c r="H195" s="39"/>
      <c r="I195" s="40"/>
      <c r="J195" s="47">
        <v>0</v>
      </c>
      <c r="K195" s="37">
        <v>0</v>
      </c>
      <c r="L195" s="43">
        <v>0</v>
      </c>
      <c r="M195" s="43">
        <v>0</v>
      </c>
      <c r="N195" s="49">
        <v>0</v>
      </c>
      <c r="O195" s="137">
        <v>4000</v>
      </c>
      <c r="P195" s="137">
        <v>1</v>
      </c>
      <c r="Q195" s="182" t="s">
        <v>492</v>
      </c>
      <c r="R195" s="5">
        <v>0</v>
      </c>
      <c r="S195" s="149">
        <v>0</v>
      </c>
      <c r="T195" s="149">
        <v>0</v>
      </c>
      <c r="U195" s="150">
        <v>0</v>
      </c>
      <c r="V195" s="5" t="e">
        <v>#REF!</v>
      </c>
      <c r="W195" s="5" t="e">
        <v>#REF!</v>
      </c>
      <c r="X195" s="5"/>
      <c r="Y195" s="5"/>
      <c r="Z195" s="5"/>
      <c r="AA195" s="5"/>
      <c r="AB195" s="5"/>
      <c r="AC195" s="5"/>
      <c r="AD195" s="5"/>
      <c r="AE195" s="5"/>
      <c r="AF195" s="5"/>
      <c r="AG195" s="5"/>
      <c r="AH195" s="5"/>
      <c r="AI195" s="5"/>
      <c r="AJ195" s="5"/>
      <c r="AK195" s="5"/>
    </row>
    <row r="196" spans="1:37" ht="15" customHeight="1">
      <c r="A196" s="70" t="s">
        <v>320</v>
      </c>
      <c r="B196" s="70" t="s">
        <v>715</v>
      </c>
      <c r="C196" s="45">
        <v>0</v>
      </c>
      <c r="D196" s="42">
        <v>0</v>
      </c>
      <c r="E196" s="252"/>
      <c r="F196" s="29" t="s">
        <v>596</v>
      </c>
      <c r="G196" s="39"/>
      <c r="H196" s="39"/>
      <c r="I196" s="255"/>
      <c r="J196" s="47">
        <v>0</v>
      </c>
      <c r="K196" s="37">
        <v>0</v>
      </c>
      <c r="L196" s="43">
        <v>0</v>
      </c>
      <c r="M196" s="43">
        <v>0</v>
      </c>
      <c r="N196" s="49">
        <v>0</v>
      </c>
      <c r="O196" s="137">
        <v>4000</v>
      </c>
      <c r="P196" s="137">
        <v>1</v>
      </c>
      <c r="Q196" s="182" t="s">
        <v>492</v>
      </c>
      <c r="R196" s="5">
        <v>0</v>
      </c>
      <c r="S196" s="149">
        <v>0</v>
      </c>
      <c r="T196" s="149">
        <v>0</v>
      </c>
      <c r="U196" s="150">
        <v>0</v>
      </c>
      <c r="V196" s="5" t="e">
        <v>#REF!</v>
      </c>
      <c r="W196" s="5" t="e">
        <v>#REF!</v>
      </c>
      <c r="X196" s="5"/>
      <c r="Y196" s="5"/>
      <c r="Z196" s="5"/>
      <c r="AA196" s="5"/>
      <c r="AB196" s="5"/>
      <c r="AC196" s="5"/>
      <c r="AD196" s="5"/>
      <c r="AE196" s="5"/>
      <c r="AF196" s="5"/>
      <c r="AG196" s="5"/>
      <c r="AH196" s="5"/>
      <c r="AI196" s="5"/>
      <c r="AJ196" s="5"/>
      <c r="AK196" s="5"/>
    </row>
    <row r="197" spans="1:37" ht="15" customHeight="1">
      <c r="A197" s="70" t="s">
        <v>608</v>
      </c>
      <c r="B197" s="70" t="s">
        <v>609</v>
      </c>
      <c r="C197" s="45">
        <v>0</v>
      </c>
      <c r="D197" s="42">
        <v>0</v>
      </c>
      <c r="E197" s="252"/>
      <c r="F197" s="29" t="s">
        <v>596</v>
      </c>
      <c r="G197" s="39"/>
      <c r="H197" s="39"/>
      <c r="I197" s="255"/>
      <c r="J197" s="47">
        <v>0</v>
      </c>
      <c r="K197" s="37">
        <v>0</v>
      </c>
      <c r="L197" s="43">
        <v>0</v>
      </c>
      <c r="M197" s="43">
        <v>0</v>
      </c>
      <c r="N197" s="49">
        <v>0</v>
      </c>
      <c r="O197" s="137">
        <v>4000</v>
      </c>
      <c r="P197" s="137">
        <v>1</v>
      </c>
      <c r="Q197" s="182" t="s">
        <v>492</v>
      </c>
      <c r="R197" s="5">
        <v>0</v>
      </c>
      <c r="S197" s="149">
        <v>0</v>
      </c>
      <c r="T197" s="149">
        <v>0</v>
      </c>
      <c r="U197" s="150">
        <v>0</v>
      </c>
      <c r="V197" s="5" t="e">
        <v>#REF!</v>
      </c>
      <c r="W197" s="5" t="e">
        <v>#REF!</v>
      </c>
      <c r="X197" s="5"/>
      <c r="Y197" s="5"/>
      <c r="Z197" s="5"/>
      <c r="AA197" s="5"/>
      <c r="AB197" s="5"/>
      <c r="AC197" s="5"/>
      <c r="AD197" s="5"/>
      <c r="AE197" s="5"/>
      <c r="AF197" s="5"/>
      <c r="AG197" s="5"/>
      <c r="AH197" s="5"/>
      <c r="AI197" s="5"/>
      <c r="AJ197" s="5"/>
      <c r="AK197" s="5"/>
    </row>
    <row r="198" spans="1:37" ht="15" customHeight="1">
      <c r="A198" s="70" t="s">
        <v>610</v>
      </c>
      <c r="B198" s="70" t="s">
        <v>716</v>
      </c>
      <c r="C198" s="45">
        <v>0</v>
      </c>
      <c r="D198" s="42">
        <v>0</v>
      </c>
      <c r="E198" s="252"/>
      <c r="F198" s="29" t="s">
        <v>596</v>
      </c>
      <c r="G198" s="39"/>
      <c r="H198" s="39"/>
      <c r="I198" s="255"/>
      <c r="J198" s="47">
        <v>0</v>
      </c>
      <c r="K198" s="37">
        <v>0</v>
      </c>
      <c r="L198" s="43">
        <v>0</v>
      </c>
      <c r="M198" s="43">
        <v>0</v>
      </c>
      <c r="N198" s="49">
        <v>0</v>
      </c>
      <c r="O198" s="137">
        <v>4000</v>
      </c>
      <c r="P198" s="137">
        <v>1</v>
      </c>
      <c r="Q198" s="182" t="s">
        <v>492</v>
      </c>
      <c r="R198" s="5">
        <v>0</v>
      </c>
      <c r="S198" s="149">
        <v>0</v>
      </c>
      <c r="T198" s="149">
        <v>0</v>
      </c>
      <c r="U198" s="150">
        <v>0</v>
      </c>
      <c r="V198" s="5" t="e">
        <v>#REF!</v>
      </c>
      <c r="W198" s="5" t="e">
        <v>#REF!</v>
      </c>
      <c r="X198" s="5"/>
      <c r="Y198" s="5"/>
      <c r="Z198" s="5"/>
      <c r="AA198" s="5"/>
      <c r="AB198" s="5"/>
      <c r="AC198" s="5"/>
      <c r="AD198" s="5"/>
      <c r="AE198" s="5"/>
      <c r="AF198" s="5"/>
      <c r="AG198" s="5"/>
      <c r="AH198" s="5"/>
      <c r="AI198" s="5"/>
      <c r="AJ198" s="5"/>
      <c r="AK198" s="5"/>
    </row>
    <row r="199" spans="1:37" ht="15" customHeight="1" hidden="1">
      <c r="A199" s="70" t="s">
        <v>616</v>
      </c>
      <c r="B199" s="70" t="s">
        <v>717</v>
      </c>
      <c r="C199" s="45">
        <v>0</v>
      </c>
      <c r="D199" s="42">
        <v>0</v>
      </c>
      <c r="E199" s="252"/>
      <c r="F199" s="29" t="s">
        <v>596</v>
      </c>
      <c r="G199" s="39"/>
      <c r="H199" s="39"/>
      <c r="I199" s="40"/>
      <c r="J199" s="47">
        <v>0</v>
      </c>
      <c r="K199" s="37">
        <v>0</v>
      </c>
      <c r="L199" s="43">
        <v>0</v>
      </c>
      <c r="M199" s="43">
        <v>0</v>
      </c>
      <c r="N199" s="49">
        <v>0</v>
      </c>
      <c r="O199" s="137">
        <v>4000</v>
      </c>
      <c r="P199" s="137">
        <v>1</v>
      </c>
      <c r="Q199" s="182" t="s">
        <v>492</v>
      </c>
      <c r="R199" s="5">
        <v>0</v>
      </c>
      <c r="S199" s="149">
        <v>0</v>
      </c>
      <c r="T199" s="149">
        <v>0</v>
      </c>
      <c r="U199" s="150">
        <v>0</v>
      </c>
      <c r="V199" s="5" t="e">
        <v>#REF!</v>
      </c>
      <c r="W199" s="5" t="e">
        <v>#REF!</v>
      </c>
      <c r="X199" s="5"/>
      <c r="Y199" s="5"/>
      <c r="Z199" s="5"/>
      <c r="AA199" s="5"/>
      <c r="AB199" s="5"/>
      <c r="AC199" s="5"/>
      <c r="AD199" s="5"/>
      <c r="AE199" s="5"/>
      <c r="AF199" s="5"/>
      <c r="AG199" s="5"/>
      <c r="AH199" s="5"/>
      <c r="AI199" s="5"/>
      <c r="AJ199" s="5"/>
      <c r="AK199" s="5"/>
    </row>
    <row r="200" spans="1:37" ht="15" customHeight="1">
      <c r="A200" s="70" t="s">
        <v>322</v>
      </c>
      <c r="B200" s="70" t="s">
        <v>718</v>
      </c>
      <c r="C200" s="45">
        <v>0</v>
      </c>
      <c r="D200" s="42">
        <v>0</v>
      </c>
      <c r="E200" s="252"/>
      <c r="F200" s="29" t="s">
        <v>596</v>
      </c>
      <c r="G200" s="39"/>
      <c r="H200" s="39"/>
      <c r="I200" s="255"/>
      <c r="J200" s="47">
        <v>0</v>
      </c>
      <c r="K200" s="37">
        <v>0</v>
      </c>
      <c r="L200" s="43">
        <v>0</v>
      </c>
      <c r="M200" s="43">
        <v>0</v>
      </c>
      <c r="N200" s="49">
        <v>0</v>
      </c>
      <c r="O200" s="137">
        <v>4000</v>
      </c>
      <c r="P200" s="137">
        <v>1</v>
      </c>
      <c r="Q200" s="182" t="s">
        <v>492</v>
      </c>
      <c r="R200" s="5">
        <v>0</v>
      </c>
      <c r="S200" s="149">
        <v>0</v>
      </c>
      <c r="T200" s="149">
        <v>0</v>
      </c>
      <c r="U200" s="150">
        <v>0</v>
      </c>
      <c r="V200" s="5" t="e">
        <v>#REF!</v>
      </c>
      <c r="W200" s="5" t="e">
        <v>#REF!</v>
      </c>
      <c r="X200" s="5"/>
      <c r="Y200" s="5"/>
      <c r="Z200" s="5"/>
      <c r="AA200" s="5"/>
      <c r="AB200" s="5"/>
      <c r="AC200" s="5"/>
      <c r="AD200" s="5"/>
      <c r="AE200" s="5"/>
      <c r="AF200" s="5"/>
      <c r="AG200" s="5"/>
      <c r="AH200" s="5"/>
      <c r="AI200" s="5"/>
      <c r="AJ200" s="5"/>
      <c r="AK200" s="5"/>
    </row>
    <row r="201" spans="1:37" ht="15" customHeight="1" hidden="1">
      <c r="A201" s="70" t="s">
        <v>324</v>
      </c>
      <c r="B201" s="70" t="s">
        <v>719</v>
      </c>
      <c r="C201" s="45">
        <v>0</v>
      </c>
      <c r="D201" s="42">
        <v>-5232.44</v>
      </c>
      <c r="E201" s="252"/>
      <c r="F201" s="29" t="s">
        <v>596</v>
      </c>
      <c r="G201" s="39">
        <v>5232.44</v>
      </c>
      <c r="H201" s="39"/>
      <c r="I201" s="40"/>
      <c r="J201" s="47">
        <v>0</v>
      </c>
      <c r="K201" s="37">
        <v>0</v>
      </c>
      <c r="L201" s="43">
        <v>0</v>
      </c>
      <c r="M201" s="43">
        <v>0</v>
      </c>
      <c r="N201" s="49">
        <v>0</v>
      </c>
      <c r="O201" s="137">
        <v>4000</v>
      </c>
      <c r="P201" s="137">
        <v>1</v>
      </c>
      <c r="Q201" s="182" t="s">
        <v>492</v>
      </c>
      <c r="R201" s="5">
        <v>0</v>
      </c>
      <c r="S201" s="149">
        <v>0</v>
      </c>
      <c r="T201" s="149">
        <v>0</v>
      </c>
      <c r="U201" s="150">
        <v>0</v>
      </c>
      <c r="V201" s="5" t="e">
        <v>#REF!</v>
      </c>
      <c r="W201" s="5" t="e">
        <v>#REF!</v>
      </c>
      <c r="X201" s="5"/>
      <c r="Y201" s="5"/>
      <c r="Z201" s="5"/>
      <c r="AA201" s="5"/>
      <c r="AB201" s="5"/>
      <c r="AC201" s="5"/>
      <c r="AD201" s="5"/>
      <c r="AE201" s="5"/>
      <c r="AF201" s="5"/>
      <c r="AG201" s="5"/>
      <c r="AH201" s="5"/>
      <c r="AI201" s="5"/>
      <c r="AJ201" s="5"/>
      <c r="AK201" s="5"/>
    </row>
    <row r="202" spans="1:37" ht="15" customHeight="1" hidden="1">
      <c r="A202" s="254" t="s">
        <v>592</v>
      </c>
      <c r="B202" s="254" t="s">
        <v>593</v>
      </c>
      <c r="C202" s="254">
        <v>0</v>
      </c>
      <c r="D202" s="42">
        <v>286.12</v>
      </c>
      <c r="E202" s="252"/>
      <c r="F202" s="29" t="s">
        <v>596</v>
      </c>
      <c r="G202" s="39"/>
      <c r="H202" s="39">
        <v>286.12</v>
      </c>
      <c r="I202" s="40"/>
      <c r="J202" s="47">
        <v>0</v>
      </c>
      <c r="K202" s="37">
        <v>0</v>
      </c>
      <c r="L202" s="43">
        <v>0</v>
      </c>
      <c r="M202" s="43">
        <v>0</v>
      </c>
      <c r="N202" s="49">
        <v>0</v>
      </c>
      <c r="O202" s="137">
        <v>4000</v>
      </c>
      <c r="P202" s="137">
        <v>1</v>
      </c>
      <c r="Q202" s="182" t="s">
        <v>492</v>
      </c>
      <c r="R202" s="5">
        <v>0</v>
      </c>
      <c r="S202" s="149">
        <v>0</v>
      </c>
      <c r="T202" s="149">
        <v>0</v>
      </c>
      <c r="U202" s="150">
        <v>0</v>
      </c>
      <c r="V202" s="5" t="e">
        <v>#REF!</v>
      </c>
      <c r="W202" s="5" t="e">
        <v>#REF!</v>
      </c>
      <c r="X202" s="5"/>
      <c r="Y202" s="5"/>
      <c r="Z202" s="5"/>
      <c r="AA202" s="5"/>
      <c r="AB202" s="5"/>
      <c r="AC202" s="5"/>
      <c r="AD202" s="5"/>
      <c r="AE202" s="5"/>
      <c r="AF202" s="5"/>
      <c r="AG202" s="5"/>
      <c r="AH202" s="5"/>
      <c r="AI202" s="5"/>
      <c r="AJ202" s="5"/>
      <c r="AK202" s="5"/>
    </row>
    <row r="203" spans="1:37" ht="15" customHeight="1" hidden="1">
      <c r="A203" s="254" t="s">
        <v>326</v>
      </c>
      <c r="B203" s="254" t="s">
        <v>720</v>
      </c>
      <c r="C203" s="254">
        <v>0</v>
      </c>
      <c r="D203" s="42">
        <v>0</v>
      </c>
      <c r="E203" s="252"/>
      <c r="F203" s="29" t="s">
        <v>596</v>
      </c>
      <c r="G203" s="39"/>
      <c r="H203" s="39"/>
      <c r="I203" s="40"/>
      <c r="J203" s="47">
        <v>0</v>
      </c>
      <c r="K203" s="37">
        <v>0</v>
      </c>
      <c r="L203" s="43">
        <v>0</v>
      </c>
      <c r="M203" s="43">
        <v>0</v>
      </c>
      <c r="N203" s="49">
        <v>0</v>
      </c>
      <c r="O203" s="137">
        <v>4000</v>
      </c>
      <c r="P203" s="137">
        <v>1</v>
      </c>
      <c r="Q203" s="182" t="s">
        <v>492</v>
      </c>
      <c r="R203" s="5">
        <v>0</v>
      </c>
      <c r="S203" s="149">
        <v>0</v>
      </c>
      <c r="T203" s="149">
        <v>0</v>
      </c>
      <c r="U203" s="150">
        <v>0</v>
      </c>
      <c r="V203" s="5" t="e">
        <v>#REF!</v>
      </c>
      <c r="W203" s="5" t="e">
        <v>#REF!</v>
      </c>
      <c r="X203" s="5"/>
      <c r="Y203" s="5"/>
      <c r="Z203" s="5"/>
      <c r="AA203" s="5"/>
      <c r="AB203" s="5"/>
      <c r="AC203" s="5"/>
      <c r="AD203" s="5"/>
      <c r="AE203" s="5"/>
      <c r="AF203" s="5"/>
      <c r="AG203" s="5"/>
      <c r="AH203" s="5"/>
      <c r="AI203" s="5"/>
      <c r="AJ203" s="5"/>
      <c r="AK203" s="5"/>
    </row>
    <row r="204" spans="1:37" ht="15" customHeight="1">
      <c r="A204" s="254" t="s">
        <v>328</v>
      </c>
      <c r="B204" s="254" t="s">
        <v>741</v>
      </c>
      <c r="C204" s="254">
        <v>0</v>
      </c>
      <c r="D204" s="42">
        <v>596.93</v>
      </c>
      <c r="E204" s="252"/>
      <c r="F204" s="29" t="s">
        <v>596</v>
      </c>
      <c r="G204" s="39"/>
      <c r="H204" s="39">
        <v>596.93</v>
      </c>
      <c r="I204" s="255"/>
      <c r="J204" s="47">
        <v>0</v>
      </c>
      <c r="K204" s="37">
        <v>0</v>
      </c>
      <c r="L204" s="43">
        <v>0</v>
      </c>
      <c r="M204" s="43">
        <v>0</v>
      </c>
      <c r="N204" s="49">
        <v>0</v>
      </c>
      <c r="O204" s="137">
        <v>4000</v>
      </c>
      <c r="P204" s="137">
        <v>1</v>
      </c>
      <c r="Q204" s="182" t="s">
        <v>492</v>
      </c>
      <c r="R204" s="5">
        <v>0</v>
      </c>
      <c r="S204" s="149">
        <v>0</v>
      </c>
      <c r="T204" s="149">
        <v>0</v>
      </c>
      <c r="U204" s="150">
        <v>0</v>
      </c>
      <c r="V204" s="5" t="e">
        <v>#REF!</v>
      </c>
      <c r="W204" s="5" t="e">
        <v>#REF!</v>
      </c>
      <c r="X204" s="5"/>
      <c r="Y204" s="5"/>
      <c r="Z204" s="5"/>
      <c r="AA204" s="5"/>
      <c r="AB204" s="5"/>
      <c r="AC204" s="5"/>
      <c r="AD204" s="5"/>
      <c r="AE204" s="5"/>
      <c r="AF204" s="5"/>
      <c r="AG204" s="5"/>
      <c r="AH204" s="5"/>
      <c r="AI204" s="5"/>
      <c r="AJ204" s="5"/>
      <c r="AK204" s="5"/>
    </row>
    <row r="205" spans="1:37" ht="15" customHeight="1">
      <c r="A205" s="254" t="s">
        <v>618</v>
      </c>
      <c r="B205" s="254" t="s">
        <v>721</v>
      </c>
      <c r="C205" s="254">
        <v>0</v>
      </c>
      <c r="D205" s="42">
        <v>0</v>
      </c>
      <c r="E205" s="252"/>
      <c r="F205" s="29" t="s">
        <v>596</v>
      </c>
      <c r="G205" s="39"/>
      <c r="H205" s="39"/>
      <c r="I205" s="255"/>
      <c r="J205" s="47">
        <v>0</v>
      </c>
      <c r="K205" s="37">
        <v>0</v>
      </c>
      <c r="L205" s="43">
        <v>0</v>
      </c>
      <c r="M205" s="43">
        <v>0</v>
      </c>
      <c r="N205" s="49">
        <v>0</v>
      </c>
      <c r="O205" s="137">
        <v>4000</v>
      </c>
      <c r="P205" s="137">
        <v>1</v>
      </c>
      <c r="Q205" s="182" t="s">
        <v>492</v>
      </c>
      <c r="R205" s="5">
        <v>0</v>
      </c>
      <c r="S205" s="149">
        <v>0</v>
      </c>
      <c r="T205" s="149">
        <v>0</v>
      </c>
      <c r="U205" s="150">
        <v>0</v>
      </c>
      <c r="V205" s="5" t="e">
        <v>#REF!</v>
      </c>
      <c r="W205" s="5" t="e">
        <v>#REF!</v>
      </c>
      <c r="X205" s="5"/>
      <c r="Y205" s="5"/>
      <c r="Z205" s="5"/>
      <c r="AA205" s="5"/>
      <c r="AB205" s="5"/>
      <c r="AC205" s="5"/>
      <c r="AD205" s="5"/>
      <c r="AE205" s="5"/>
      <c r="AF205" s="5"/>
      <c r="AG205" s="5"/>
      <c r="AH205" s="5"/>
      <c r="AI205" s="5"/>
      <c r="AJ205" s="5"/>
      <c r="AK205" s="5"/>
    </row>
    <row r="206" spans="1:37" ht="15" customHeight="1" hidden="1">
      <c r="A206" s="254" t="s">
        <v>330</v>
      </c>
      <c r="B206" s="254" t="s">
        <v>645</v>
      </c>
      <c r="C206" s="254">
        <v>217</v>
      </c>
      <c r="D206" s="42">
        <v>217</v>
      </c>
      <c r="E206" s="252"/>
      <c r="F206" s="29">
        <v>0</v>
      </c>
      <c r="G206" s="39"/>
      <c r="H206" s="39">
        <v>217</v>
      </c>
      <c r="I206" s="40"/>
      <c r="J206" s="47">
        <v>0</v>
      </c>
      <c r="K206" s="37">
        <v>0</v>
      </c>
      <c r="L206" s="43">
        <v>0</v>
      </c>
      <c r="M206" s="43">
        <v>0</v>
      </c>
      <c r="N206" s="49">
        <v>0</v>
      </c>
      <c r="O206" s="137">
        <v>4000</v>
      </c>
      <c r="P206" s="137">
        <v>1</v>
      </c>
      <c r="Q206" s="182" t="s">
        <v>492</v>
      </c>
      <c r="R206" s="5">
        <v>217</v>
      </c>
      <c r="S206" s="149">
        <v>217</v>
      </c>
      <c r="T206" s="149">
        <v>0</v>
      </c>
      <c r="U206" s="150">
        <v>0</v>
      </c>
      <c r="V206" s="5" t="e">
        <v>#REF!</v>
      </c>
      <c r="W206" s="5" t="e">
        <v>#REF!</v>
      </c>
      <c r="X206" s="5"/>
      <c r="Y206" s="5"/>
      <c r="Z206" s="5"/>
      <c r="AA206" s="5"/>
      <c r="AB206" s="5"/>
      <c r="AC206" s="5"/>
      <c r="AD206" s="5"/>
      <c r="AE206" s="5"/>
      <c r="AF206" s="5"/>
      <c r="AG206" s="5"/>
      <c r="AH206" s="5"/>
      <c r="AI206" s="5"/>
      <c r="AJ206" s="5"/>
      <c r="AK206" s="5"/>
    </row>
    <row r="207" spans="1:37" ht="15" customHeight="1">
      <c r="A207" s="254" t="s">
        <v>620</v>
      </c>
      <c r="B207" s="254" t="s">
        <v>621</v>
      </c>
      <c r="C207" s="254">
        <v>0</v>
      </c>
      <c r="D207" s="42">
        <v>0</v>
      </c>
      <c r="E207" s="252"/>
      <c r="F207" s="29" t="s">
        <v>596</v>
      </c>
      <c r="G207" s="39"/>
      <c r="H207" s="39"/>
      <c r="I207" s="255"/>
      <c r="J207" s="47">
        <v>0</v>
      </c>
      <c r="K207" s="37">
        <v>0</v>
      </c>
      <c r="L207" s="43">
        <v>0</v>
      </c>
      <c r="M207" s="43">
        <v>0</v>
      </c>
      <c r="N207" s="49">
        <v>0</v>
      </c>
      <c r="O207" s="137">
        <v>4000</v>
      </c>
      <c r="P207" s="137">
        <v>1</v>
      </c>
      <c r="Q207" s="182" t="s">
        <v>492</v>
      </c>
      <c r="R207" s="5">
        <v>0</v>
      </c>
      <c r="S207" s="149">
        <v>0</v>
      </c>
      <c r="T207" s="149">
        <v>0</v>
      </c>
      <c r="U207" s="150">
        <v>0</v>
      </c>
      <c r="V207" s="5" t="e">
        <v>#REF!</v>
      </c>
      <c r="W207" s="5" t="e">
        <v>#REF!</v>
      </c>
      <c r="X207" s="5"/>
      <c r="Y207" s="5"/>
      <c r="Z207" s="5"/>
      <c r="AA207" s="5"/>
      <c r="AB207" s="5"/>
      <c r="AC207" s="5"/>
      <c r="AD207" s="5"/>
      <c r="AE207" s="5"/>
      <c r="AF207" s="5"/>
      <c r="AG207" s="5"/>
      <c r="AH207" s="5"/>
      <c r="AI207" s="5"/>
      <c r="AJ207" s="5"/>
      <c r="AK207" s="5"/>
    </row>
    <row r="208" spans="1:37" ht="15" customHeight="1">
      <c r="A208" s="70" t="s">
        <v>622</v>
      </c>
      <c r="B208" s="70" t="s">
        <v>742</v>
      </c>
      <c r="C208" s="45">
        <v>0</v>
      </c>
      <c r="D208" s="42">
        <v>0</v>
      </c>
      <c r="E208" s="252"/>
      <c r="F208" s="29" t="s">
        <v>596</v>
      </c>
      <c r="G208" s="39"/>
      <c r="H208" s="39"/>
      <c r="I208" s="255"/>
      <c r="J208" s="47">
        <v>0</v>
      </c>
      <c r="K208" s="37">
        <v>0</v>
      </c>
      <c r="L208" s="43">
        <v>0</v>
      </c>
      <c r="M208" s="43">
        <v>0</v>
      </c>
      <c r="N208" s="49">
        <v>0</v>
      </c>
      <c r="O208" s="137">
        <v>4000</v>
      </c>
      <c r="P208" s="137">
        <v>1</v>
      </c>
      <c r="Q208" s="182" t="s">
        <v>492</v>
      </c>
      <c r="R208" s="5">
        <v>0</v>
      </c>
      <c r="S208" s="149">
        <v>0</v>
      </c>
      <c r="T208" s="149">
        <v>0</v>
      </c>
      <c r="U208" s="150">
        <v>0</v>
      </c>
      <c r="V208" s="5" t="e">
        <v>#REF!</v>
      </c>
      <c r="W208" s="5" t="e">
        <v>#REF!</v>
      </c>
      <c r="X208" s="5"/>
      <c r="Y208" s="5"/>
      <c r="Z208" s="5"/>
      <c r="AA208" s="5"/>
      <c r="AB208" s="5"/>
      <c r="AC208" s="5"/>
      <c r="AD208" s="5"/>
      <c r="AE208" s="5"/>
      <c r="AF208" s="5"/>
      <c r="AG208" s="5"/>
      <c r="AH208" s="5"/>
      <c r="AI208" s="5"/>
      <c r="AJ208" s="5"/>
      <c r="AK208" s="5"/>
    </row>
    <row r="209" spans="1:37" ht="15" customHeight="1">
      <c r="A209" s="70" t="s">
        <v>332</v>
      </c>
      <c r="B209" s="70" t="s">
        <v>723</v>
      </c>
      <c r="C209" s="45">
        <v>0</v>
      </c>
      <c r="D209" s="42">
        <v>0</v>
      </c>
      <c r="E209" s="252"/>
      <c r="F209" s="29" t="s">
        <v>596</v>
      </c>
      <c r="G209" s="39"/>
      <c r="H209" s="39"/>
      <c r="I209" s="255"/>
      <c r="J209" s="47">
        <v>0</v>
      </c>
      <c r="K209" s="37">
        <v>0</v>
      </c>
      <c r="L209" s="43">
        <v>0</v>
      </c>
      <c r="M209" s="43">
        <v>0</v>
      </c>
      <c r="N209" s="49">
        <v>0</v>
      </c>
      <c r="O209" s="137">
        <v>4000</v>
      </c>
      <c r="P209" s="137">
        <v>1</v>
      </c>
      <c r="Q209" s="182" t="s">
        <v>492</v>
      </c>
      <c r="R209" s="5">
        <v>0</v>
      </c>
      <c r="S209" s="149">
        <v>0</v>
      </c>
      <c r="T209" s="149">
        <v>0</v>
      </c>
      <c r="U209" s="150">
        <v>0</v>
      </c>
      <c r="V209" s="5" t="e">
        <v>#REF!</v>
      </c>
      <c r="W209" s="5" t="e">
        <v>#REF!</v>
      </c>
      <c r="X209" s="5"/>
      <c r="Y209" s="5"/>
      <c r="Z209" s="5"/>
      <c r="AA209" s="5"/>
      <c r="AB209" s="5"/>
      <c r="AC209" s="5"/>
      <c r="AD209" s="5"/>
      <c r="AE209" s="5"/>
      <c r="AF209" s="5"/>
      <c r="AG209" s="5"/>
      <c r="AH209" s="5"/>
      <c r="AI209" s="5"/>
      <c r="AJ209" s="5"/>
      <c r="AK209" s="5"/>
    </row>
    <row r="210" spans="1:37" ht="15" customHeight="1">
      <c r="A210" s="70" t="s">
        <v>624</v>
      </c>
      <c r="B210" s="70" t="s">
        <v>743</v>
      </c>
      <c r="C210" s="45">
        <v>0</v>
      </c>
      <c r="D210" s="42">
        <v>-21121.31</v>
      </c>
      <c r="E210" s="252"/>
      <c r="F210" s="29" t="s">
        <v>596</v>
      </c>
      <c r="G210" s="39">
        <v>21121.31</v>
      </c>
      <c r="H210" s="39"/>
      <c r="I210" s="255"/>
      <c r="J210" s="47">
        <v>0</v>
      </c>
      <c r="K210" s="37">
        <v>0</v>
      </c>
      <c r="L210" s="43">
        <v>0</v>
      </c>
      <c r="M210" s="43">
        <v>0</v>
      </c>
      <c r="N210" s="49">
        <v>0</v>
      </c>
      <c r="O210" s="137">
        <v>4000</v>
      </c>
      <c r="P210" s="137">
        <v>1</v>
      </c>
      <c r="Q210" s="182" t="s">
        <v>492</v>
      </c>
      <c r="R210" s="5">
        <v>0</v>
      </c>
      <c r="S210" s="149">
        <v>0</v>
      </c>
      <c r="T210" s="149">
        <v>0</v>
      </c>
      <c r="U210" s="150">
        <v>0</v>
      </c>
      <c r="V210" s="5" t="e">
        <v>#REF!</v>
      </c>
      <c r="W210" s="5" t="e">
        <v>#REF!</v>
      </c>
      <c r="X210" s="5"/>
      <c r="Y210" s="5"/>
      <c r="Z210" s="5"/>
      <c r="AA210" s="5"/>
      <c r="AB210" s="5"/>
      <c r="AC210" s="5"/>
      <c r="AD210" s="5"/>
      <c r="AE210" s="5"/>
      <c r="AF210" s="5"/>
      <c r="AG210" s="5"/>
      <c r="AH210" s="5"/>
      <c r="AI210" s="5"/>
      <c r="AJ210" s="5"/>
      <c r="AK210" s="5"/>
    </row>
    <row r="211" spans="1:37" ht="15" customHeight="1" hidden="1">
      <c r="A211" s="70" t="s">
        <v>334</v>
      </c>
      <c r="B211" s="70" t="s">
        <v>725</v>
      </c>
      <c r="C211" s="45">
        <v>0</v>
      </c>
      <c r="D211" s="42">
        <v>5020.5</v>
      </c>
      <c r="E211" s="252"/>
      <c r="F211" s="29" t="s">
        <v>596</v>
      </c>
      <c r="G211" s="39"/>
      <c r="H211" s="39">
        <v>5020.5</v>
      </c>
      <c r="I211" s="40"/>
      <c r="J211" s="47">
        <v>0</v>
      </c>
      <c r="K211" s="37">
        <v>0</v>
      </c>
      <c r="L211" s="43">
        <v>0</v>
      </c>
      <c r="M211" s="43">
        <v>0</v>
      </c>
      <c r="N211" s="49">
        <v>0</v>
      </c>
      <c r="O211" s="137">
        <v>4000</v>
      </c>
      <c r="P211" s="137">
        <v>1</v>
      </c>
      <c r="Q211" s="182" t="s">
        <v>492</v>
      </c>
      <c r="R211" s="5">
        <v>0</v>
      </c>
      <c r="S211" s="149">
        <v>0</v>
      </c>
      <c r="T211" s="149">
        <v>0</v>
      </c>
      <c r="U211" s="150">
        <v>0</v>
      </c>
      <c r="V211" s="5" t="e">
        <v>#REF!</v>
      </c>
      <c r="W211" s="5" t="e">
        <v>#REF!</v>
      </c>
      <c r="X211" s="5"/>
      <c r="Y211" s="5"/>
      <c r="Z211" s="5"/>
      <c r="AA211" s="5"/>
      <c r="AB211" s="5"/>
      <c r="AC211" s="5"/>
      <c r="AD211" s="5"/>
      <c r="AE211" s="5"/>
      <c r="AF211" s="5"/>
      <c r="AG211" s="5"/>
      <c r="AH211" s="5"/>
      <c r="AI211" s="5"/>
      <c r="AJ211" s="5"/>
      <c r="AK211" s="5"/>
    </row>
    <row r="212" spans="1:37" ht="15" customHeight="1" hidden="1">
      <c r="A212" s="70" t="s">
        <v>336</v>
      </c>
      <c r="B212" s="70" t="s">
        <v>726</v>
      </c>
      <c r="C212" s="45">
        <v>0</v>
      </c>
      <c r="D212" s="42">
        <v>0</v>
      </c>
      <c r="E212" s="252"/>
      <c r="F212" s="29" t="s">
        <v>596</v>
      </c>
      <c r="G212" s="39"/>
      <c r="H212" s="39"/>
      <c r="I212" s="40"/>
      <c r="J212" s="47">
        <v>0</v>
      </c>
      <c r="K212" s="37">
        <v>0</v>
      </c>
      <c r="L212" s="43">
        <v>0</v>
      </c>
      <c r="M212" s="43">
        <v>0</v>
      </c>
      <c r="N212" s="49">
        <v>0</v>
      </c>
      <c r="O212" s="137">
        <v>4000</v>
      </c>
      <c r="P212" s="137">
        <v>1</v>
      </c>
      <c r="Q212" s="182" t="s">
        <v>492</v>
      </c>
      <c r="R212" s="5">
        <v>0</v>
      </c>
      <c r="S212" s="149">
        <v>0</v>
      </c>
      <c r="T212" s="149">
        <v>0</v>
      </c>
      <c r="U212" s="150">
        <v>0</v>
      </c>
      <c r="V212" s="5" t="e">
        <v>#REF!</v>
      </c>
      <c r="W212" s="5" t="e">
        <v>#REF!</v>
      </c>
      <c r="X212" s="5"/>
      <c r="Y212" s="5"/>
      <c r="Z212" s="5"/>
      <c r="AA212" s="5"/>
      <c r="AB212" s="5"/>
      <c r="AC212" s="5"/>
      <c r="AD212" s="5"/>
      <c r="AE212" s="5"/>
      <c r="AF212" s="5"/>
      <c r="AG212" s="5"/>
      <c r="AH212" s="5"/>
      <c r="AI212" s="5"/>
      <c r="AJ212" s="5"/>
      <c r="AK212" s="5"/>
    </row>
    <row r="213" spans="1:37" ht="15" customHeight="1">
      <c r="A213" s="70" t="s">
        <v>646</v>
      </c>
      <c r="B213" s="70" t="s">
        <v>744</v>
      </c>
      <c r="C213" s="45">
        <v>0</v>
      </c>
      <c r="D213" s="42">
        <v>3578.65</v>
      </c>
      <c r="E213" s="252"/>
      <c r="F213" s="29" t="s">
        <v>596</v>
      </c>
      <c r="G213" s="39"/>
      <c r="H213" s="39">
        <v>3578.65</v>
      </c>
      <c r="I213" s="255"/>
      <c r="J213" s="47">
        <v>0</v>
      </c>
      <c r="K213" s="37">
        <v>0</v>
      </c>
      <c r="L213" s="43">
        <v>0</v>
      </c>
      <c r="M213" s="43">
        <v>0</v>
      </c>
      <c r="N213" s="49">
        <v>0</v>
      </c>
      <c r="O213" s="137">
        <v>4000</v>
      </c>
      <c r="P213" s="137">
        <v>1</v>
      </c>
      <c r="Q213" s="182" t="s">
        <v>492</v>
      </c>
      <c r="R213" s="5">
        <v>0</v>
      </c>
      <c r="S213" s="149">
        <v>0</v>
      </c>
      <c r="T213" s="149">
        <v>0</v>
      </c>
      <c r="U213" s="150">
        <v>0</v>
      </c>
      <c r="V213" s="5" t="e">
        <v>#REF!</v>
      </c>
      <c r="W213" s="5" t="e">
        <v>#REF!</v>
      </c>
      <c r="X213" s="5"/>
      <c r="Y213" s="5"/>
      <c r="Z213" s="5"/>
      <c r="AA213" s="5"/>
      <c r="AB213" s="5"/>
      <c r="AC213" s="5"/>
      <c r="AD213" s="5"/>
      <c r="AE213" s="5"/>
      <c r="AF213" s="5"/>
      <c r="AG213" s="5"/>
      <c r="AH213" s="5"/>
      <c r="AI213" s="5"/>
      <c r="AJ213" s="5"/>
      <c r="AK213" s="5"/>
    </row>
    <row r="214" spans="1:37" ht="15" customHeight="1">
      <c r="A214" s="70" t="s">
        <v>648</v>
      </c>
      <c r="B214" s="70" t="s">
        <v>649</v>
      </c>
      <c r="C214" s="45">
        <v>0</v>
      </c>
      <c r="D214" s="42">
        <v>0</v>
      </c>
      <c r="E214" s="252"/>
      <c r="F214" s="29" t="s">
        <v>596</v>
      </c>
      <c r="G214" s="39"/>
      <c r="H214" s="39"/>
      <c r="I214" s="255"/>
      <c r="J214" s="47">
        <v>0</v>
      </c>
      <c r="K214" s="37">
        <v>0</v>
      </c>
      <c r="L214" s="43">
        <v>0</v>
      </c>
      <c r="M214" s="43">
        <v>0</v>
      </c>
      <c r="N214" s="49">
        <v>0</v>
      </c>
      <c r="O214" s="137">
        <v>4000</v>
      </c>
      <c r="P214" s="137">
        <v>1</v>
      </c>
      <c r="Q214" s="182" t="s">
        <v>492</v>
      </c>
      <c r="R214" s="5">
        <v>0</v>
      </c>
      <c r="S214" s="149">
        <v>0</v>
      </c>
      <c r="T214" s="149">
        <v>0</v>
      </c>
      <c r="U214" s="150">
        <v>0</v>
      </c>
      <c r="V214" s="5" t="e">
        <v>#REF!</v>
      </c>
      <c r="W214" s="5" t="e">
        <v>#REF!</v>
      </c>
      <c r="X214" s="5"/>
      <c r="Y214" s="5"/>
      <c r="Z214" s="5"/>
      <c r="AA214" s="5"/>
      <c r="AB214" s="5"/>
      <c r="AC214" s="5"/>
      <c r="AD214" s="5"/>
      <c r="AE214" s="5"/>
      <c r="AF214" s="5"/>
      <c r="AG214" s="5"/>
      <c r="AH214" s="5"/>
      <c r="AI214" s="5"/>
      <c r="AJ214" s="5"/>
      <c r="AK214" s="5"/>
    </row>
    <row r="215" spans="1:37" ht="15" customHeight="1" hidden="1">
      <c r="A215" s="70" t="s">
        <v>338</v>
      </c>
      <c r="B215" s="70" t="s">
        <v>727</v>
      </c>
      <c r="C215" s="45">
        <v>0</v>
      </c>
      <c r="D215" s="42">
        <v>0</v>
      </c>
      <c r="E215" s="252"/>
      <c r="F215" s="29" t="s">
        <v>596</v>
      </c>
      <c r="G215" s="39"/>
      <c r="H215" s="39"/>
      <c r="I215" s="40"/>
      <c r="J215" s="47">
        <v>0</v>
      </c>
      <c r="K215" s="37">
        <v>0</v>
      </c>
      <c r="L215" s="43">
        <v>0</v>
      </c>
      <c r="M215" s="43">
        <v>0</v>
      </c>
      <c r="N215" s="49">
        <v>0</v>
      </c>
      <c r="O215" s="137">
        <v>4000</v>
      </c>
      <c r="P215" s="137">
        <v>1</v>
      </c>
      <c r="Q215" s="182" t="s">
        <v>492</v>
      </c>
      <c r="R215" s="5">
        <v>0</v>
      </c>
      <c r="S215" s="149">
        <v>0</v>
      </c>
      <c r="T215" s="149">
        <v>0</v>
      </c>
      <c r="U215" s="150">
        <v>0</v>
      </c>
      <c r="V215" s="5" t="e">
        <v>#REF!</v>
      </c>
      <c r="W215" s="5" t="e">
        <v>#REF!</v>
      </c>
      <c r="X215" s="5"/>
      <c r="Y215" s="5"/>
      <c r="Z215" s="5"/>
      <c r="AA215" s="5"/>
      <c r="AB215" s="5"/>
      <c r="AC215" s="5"/>
      <c r="AD215" s="5"/>
      <c r="AE215" s="5"/>
      <c r="AF215" s="5"/>
      <c r="AG215" s="5"/>
      <c r="AH215" s="5"/>
      <c r="AI215" s="5"/>
      <c r="AJ215" s="5"/>
      <c r="AK215" s="5"/>
    </row>
    <row r="216" spans="1:37" ht="15" customHeight="1" hidden="1">
      <c r="A216" s="70" t="s">
        <v>340</v>
      </c>
      <c r="B216" s="70" t="s">
        <v>728</v>
      </c>
      <c r="C216" s="45">
        <v>0</v>
      </c>
      <c r="D216" s="42">
        <v>0</v>
      </c>
      <c r="E216" s="252"/>
      <c r="F216" s="29" t="s">
        <v>596</v>
      </c>
      <c r="G216" s="39"/>
      <c r="H216" s="39"/>
      <c r="I216" s="40"/>
      <c r="J216" s="47">
        <v>0</v>
      </c>
      <c r="K216" s="37">
        <v>0</v>
      </c>
      <c r="L216" s="43">
        <v>24.41</v>
      </c>
      <c r="M216" s="43">
        <v>0</v>
      </c>
      <c r="N216" s="49">
        <v>-24.41</v>
      </c>
      <c r="O216" s="137">
        <v>4000</v>
      </c>
      <c r="P216" s="137">
        <v>1</v>
      </c>
      <c r="Q216" s="182" t="s">
        <v>492</v>
      </c>
      <c r="R216" s="5">
        <v>0</v>
      </c>
      <c r="S216" s="149">
        <v>-24.41</v>
      </c>
      <c r="T216" s="149">
        <v>24.41</v>
      </c>
      <c r="U216" s="150">
        <v>0</v>
      </c>
      <c r="V216" s="5" t="e">
        <v>#REF!</v>
      </c>
      <c r="W216" s="5" t="e">
        <v>#REF!</v>
      </c>
      <c r="X216" s="5"/>
      <c r="Y216" s="5"/>
      <c r="Z216" s="5"/>
      <c r="AA216" s="5"/>
      <c r="AB216" s="5"/>
      <c r="AC216" s="5"/>
      <c r="AD216" s="5"/>
      <c r="AE216" s="5"/>
      <c r="AF216" s="5"/>
      <c r="AG216" s="5"/>
      <c r="AH216" s="5"/>
      <c r="AI216" s="5"/>
      <c r="AJ216" s="5"/>
      <c r="AK216" s="5"/>
    </row>
    <row r="217" spans="1:37" ht="15" customHeight="1">
      <c r="A217" s="70" t="s">
        <v>650</v>
      </c>
      <c r="B217" s="70" t="s">
        <v>729</v>
      </c>
      <c r="C217" s="45">
        <v>0</v>
      </c>
      <c r="D217" s="42">
        <v>89.7</v>
      </c>
      <c r="E217" s="252"/>
      <c r="F217" s="29" t="s">
        <v>596</v>
      </c>
      <c r="G217" s="39"/>
      <c r="H217" s="39"/>
      <c r="I217" s="40"/>
      <c r="J217" s="47">
        <v>89.7</v>
      </c>
      <c r="K217" s="37">
        <v>0</v>
      </c>
      <c r="L217" s="43">
        <v>0</v>
      </c>
      <c r="M217" s="43">
        <v>0</v>
      </c>
      <c r="N217" s="49">
        <v>89.7</v>
      </c>
      <c r="O217" s="137">
        <v>4000</v>
      </c>
      <c r="P217" s="137">
        <v>1</v>
      </c>
      <c r="Q217" s="182" t="s">
        <v>492</v>
      </c>
      <c r="R217" s="5">
        <v>0</v>
      </c>
      <c r="S217" s="149">
        <v>0</v>
      </c>
      <c r="T217" s="149">
        <v>0</v>
      </c>
      <c r="U217" s="150">
        <v>0</v>
      </c>
      <c r="V217" s="5" t="e">
        <v>#REF!</v>
      </c>
      <c r="W217" s="5" t="e">
        <v>#REF!</v>
      </c>
      <c r="X217" s="5"/>
      <c r="Y217" s="5"/>
      <c r="Z217" s="5"/>
      <c r="AA217" s="5"/>
      <c r="AB217" s="5"/>
      <c r="AC217" s="5"/>
      <c r="AD217" s="5"/>
      <c r="AE217" s="5"/>
      <c r="AF217" s="5"/>
      <c r="AG217" s="5"/>
      <c r="AH217" s="5"/>
      <c r="AI217" s="5"/>
      <c r="AJ217" s="5"/>
      <c r="AK217" s="5"/>
    </row>
    <row r="218" spans="1:37" ht="15" customHeight="1">
      <c r="A218" s="70" t="s">
        <v>344</v>
      </c>
      <c r="B218" s="70" t="s">
        <v>730</v>
      </c>
      <c r="C218" s="45">
        <v>0</v>
      </c>
      <c r="D218" s="42">
        <v>0</v>
      </c>
      <c r="E218" s="252"/>
      <c r="F218" s="29" t="s">
        <v>596</v>
      </c>
      <c r="G218" s="39"/>
      <c r="H218" s="39"/>
      <c r="I218" s="40"/>
      <c r="J218" s="47">
        <v>0</v>
      </c>
      <c r="K218" s="37">
        <v>0</v>
      </c>
      <c r="L218" s="43">
        <v>0</v>
      </c>
      <c r="M218" s="43">
        <v>0</v>
      </c>
      <c r="N218" s="49">
        <v>0</v>
      </c>
      <c r="O218" s="137">
        <v>4000</v>
      </c>
      <c r="P218" s="137">
        <v>1</v>
      </c>
      <c r="Q218" s="182" t="s">
        <v>492</v>
      </c>
      <c r="R218" s="5">
        <v>0</v>
      </c>
      <c r="S218" s="149">
        <v>0</v>
      </c>
      <c r="T218" s="149">
        <v>0</v>
      </c>
      <c r="U218" s="150">
        <v>0</v>
      </c>
      <c r="V218" s="5" t="e">
        <v>#REF!</v>
      </c>
      <c r="W218" s="5" t="e">
        <v>#REF!</v>
      </c>
      <c r="X218" s="5"/>
      <c r="Y218" s="5"/>
      <c r="Z218" s="5"/>
      <c r="AA218" s="5"/>
      <c r="AB218" s="5"/>
      <c r="AC218" s="5"/>
      <c r="AD218" s="5"/>
      <c r="AE218" s="5"/>
      <c r="AF218" s="5"/>
      <c r="AG218" s="5"/>
      <c r="AH218" s="5"/>
      <c r="AI218" s="5"/>
      <c r="AJ218" s="5"/>
      <c r="AK218" s="5"/>
    </row>
    <row r="219" spans="1:37" ht="15" customHeight="1" hidden="1">
      <c r="A219" s="70" t="s">
        <v>346</v>
      </c>
      <c r="B219" s="70" t="s">
        <v>652</v>
      </c>
      <c r="C219" s="45">
        <v>0</v>
      </c>
      <c r="D219" s="42">
        <v>0</v>
      </c>
      <c r="E219" s="252"/>
      <c r="F219" s="29" t="s">
        <v>596</v>
      </c>
      <c r="G219" s="39"/>
      <c r="H219" s="39"/>
      <c r="I219" s="40"/>
      <c r="J219" s="47">
        <v>0</v>
      </c>
      <c r="K219" s="37">
        <v>0</v>
      </c>
      <c r="L219" s="43">
        <v>0</v>
      </c>
      <c r="M219" s="43">
        <v>0</v>
      </c>
      <c r="N219" s="49">
        <v>0</v>
      </c>
      <c r="O219" s="137">
        <v>4000</v>
      </c>
      <c r="P219" s="137">
        <v>1</v>
      </c>
      <c r="Q219" s="182" t="s">
        <v>492</v>
      </c>
      <c r="R219" s="5">
        <v>0</v>
      </c>
      <c r="S219" s="149">
        <v>0</v>
      </c>
      <c r="T219" s="149">
        <v>0</v>
      </c>
      <c r="U219" s="150">
        <v>0</v>
      </c>
      <c r="V219" s="5" t="e">
        <v>#REF!</v>
      </c>
      <c r="W219" s="5" t="e">
        <v>#REF!</v>
      </c>
      <c r="X219" s="5"/>
      <c r="Y219" s="5"/>
      <c r="Z219" s="5"/>
      <c r="AA219" s="5"/>
      <c r="AB219" s="5"/>
      <c r="AC219" s="5"/>
      <c r="AD219" s="5"/>
      <c r="AE219" s="5"/>
      <c r="AF219" s="5"/>
      <c r="AG219" s="5"/>
      <c r="AH219" s="5"/>
      <c r="AI219" s="5"/>
      <c r="AJ219" s="5"/>
      <c r="AK219" s="5"/>
    </row>
    <row r="220" spans="1:37" ht="15" customHeight="1">
      <c r="A220" s="70" t="s">
        <v>348</v>
      </c>
      <c r="B220" s="70" t="s">
        <v>731</v>
      </c>
      <c r="C220" s="45">
        <v>0</v>
      </c>
      <c r="D220" s="42">
        <v>0</v>
      </c>
      <c r="E220" s="252"/>
      <c r="F220" s="29" t="s">
        <v>596</v>
      </c>
      <c r="G220" s="39"/>
      <c r="H220" s="39"/>
      <c r="I220" s="40"/>
      <c r="J220" s="47">
        <v>0</v>
      </c>
      <c r="K220" s="37">
        <v>0</v>
      </c>
      <c r="L220" s="43">
        <v>0</v>
      </c>
      <c r="M220" s="43">
        <v>0</v>
      </c>
      <c r="N220" s="49">
        <v>0</v>
      </c>
      <c r="O220" s="137">
        <v>4000</v>
      </c>
      <c r="P220" s="137">
        <v>1</v>
      </c>
      <c r="Q220" s="182" t="s">
        <v>492</v>
      </c>
      <c r="R220" s="5">
        <v>0</v>
      </c>
      <c r="S220" s="149">
        <v>0</v>
      </c>
      <c r="T220" s="149">
        <v>0</v>
      </c>
      <c r="U220" s="150">
        <v>0</v>
      </c>
      <c r="V220" s="5" t="e">
        <v>#REF!</v>
      </c>
      <c r="W220" s="5" t="e">
        <v>#REF!</v>
      </c>
      <c r="X220" s="5"/>
      <c r="Y220" s="5"/>
      <c r="Z220" s="5"/>
      <c r="AA220" s="5"/>
      <c r="AB220" s="5"/>
      <c r="AC220" s="5"/>
      <c r="AD220" s="5"/>
      <c r="AE220" s="5"/>
      <c r="AF220" s="5"/>
      <c r="AG220" s="5"/>
      <c r="AH220" s="5"/>
      <c r="AI220" s="5"/>
      <c r="AJ220" s="5"/>
      <c r="AK220" s="5"/>
    </row>
    <row r="221" spans="1:37" ht="15" customHeight="1">
      <c r="A221" s="70" t="s">
        <v>653</v>
      </c>
      <c r="B221" s="70" t="s">
        <v>654</v>
      </c>
      <c r="C221" s="45">
        <v>0</v>
      </c>
      <c r="D221" s="42">
        <v>26.05</v>
      </c>
      <c r="E221" s="252"/>
      <c r="F221" s="29" t="s">
        <v>596</v>
      </c>
      <c r="G221" s="39"/>
      <c r="H221" s="39">
        <v>26.05</v>
      </c>
      <c r="I221" s="255"/>
      <c r="J221" s="47">
        <v>0</v>
      </c>
      <c r="K221" s="37">
        <v>0</v>
      </c>
      <c r="L221" s="43">
        <v>0</v>
      </c>
      <c r="M221" s="43">
        <v>0</v>
      </c>
      <c r="N221" s="49">
        <v>0</v>
      </c>
      <c r="O221" s="137">
        <v>1600</v>
      </c>
      <c r="P221" s="137">
        <v>1</v>
      </c>
      <c r="Q221" s="182" t="s">
        <v>492</v>
      </c>
      <c r="R221" s="5">
        <v>0</v>
      </c>
      <c r="S221" s="149">
        <v>0</v>
      </c>
      <c r="T221" s="149">
        <v>0</v>
      </c>
      <c r="U221" s="150">
        <v>0</v>
      </c>
      <c r="V221" s="5" t="e">
        <v>#REF!</v>
      </c>
      <c r="W221" s="5" t="e">
        <v>#REF!</v>
      </c>
      <c r="X221" s="5"/>
      <c r="Y221" s="5"/>
      <c r="Z221" s="5"/>
      <c r="AA221" s="5"/>
      <c r="AB221" s="5"/>
      <c r="AC221" s="5"/>
      <c r="AD221" s="5"/>
      <c r="AE221" s="5"/>
      <c r="AF221" s="5"/>
      <c r="AG221" s="5"/>
      <c r="AH221" s="5"/>
      <c r="AI221" s="5"/>
      <c r="AJ221" s="5"/>
      <c r="AK221" s="5"/>
    </row>
    <row r="222" spans="1:37" ht="15" customHeight="1">
      <c r="A222" s="70" t="s">
        <v>655</v>
      </c>
      <c r="B222" s="70" t="s">
        <v>656</v>
      </c>
      <c r="C222" s="45">
        <v>0</v>
      </c>
      <c r="D222" s="42">
        <v>0</v>
      </c>
      <c r="E222" s="252"/>
      <c r="F222" s="29" t="s">
        <v>596</v>
      </c>
      <c r="G222" s="39"/>
      <c r="H222" s="39"/>
      <c r="I222" s="255"/>
      <c r="J222" s="47">
        <v>0</v>
      </c>
      <c r="K222" s="37">
        <v>0</v>
      </c>
      <c r="L222" s="43">
        <v>0</v>
      </c>
      <c r="M222" s="43">
        <v>0</v>
      </c>
      <c r="N222" s="49">
        <v>0</v>
      </c>
      <c r="O222" s="137">
        <v>4000</v>
      </c>
      <c r="P222" s="137">
        <v>1</v>
      </c>
      <c r="Q222" s="182" t="s">
        <v>492</v>
      </c>
      <c r="R222" s="5">
        <v>0</v>
      </c>
      <c r="S222" s="149">
        <v>0</v>
      </c>
      <c r="T222" s="149">
        <v>0</v>
      </c>
      <c r="U222" s="150">
        <v>0</v>
      </c>
      <c r="V222" s="5" t="e">
        <v>#REF!</v>
      </c>
      <c r="W222" s="5" t="e">
        <v>#REF!</v>
      </c>
      <c r="X222" s="5"/>
      <c r="Y222" s="5"/>
      <c r="Z222" s="5"/>
      <c r="AA222" s="5"/>
      <c r="AB222" s="5"/>
      <c r="AC222" s="5"/>
      <c r="AD222" s="5"/>
      <c r="AE222" s="5"/>
      <c r="AF222" s="5"/>
      <c r="AG222" s="5"/>
      <c r="AH222" s="5"/>
      <c r="AI222" s="5"/>
      <c r="AJ222" s="5"/>
      <c r="AK222" s="5"/>
    </row>
    <row r="223" spans="1:37" ht="15" customHeight="1" hidden="1">
      <c r="A223" s="70" t="s">
        <v>657</v>
      </c>
      <c r="B223" s="70" t="s">
        <v>658</v>
      </c>
      <c r="C223" s="45">
        <v>0</v>
      </c>
      <c r="D223" s="42">
        <v>0</v>
      </c>
      <c r="E223" s="252"/>
      <c r="F223" s="29" t="s">
        <v>596</v>
      </c>
      <c r="G223" s="39"/>
      <c r="H223" s="39"/>
      <c r="I223" s="40"/>
      <c r="J223" s="47">
        <v>0</v>
      </c>
      <c r="K223" s="37">
        <v>0</v>
      </c>
      <c r="L223" s="43">
        <v>0</v>
      </c>
      <c r="M223" s="43">
        <v>0</v>
      </c>
      <c r="N223" s="49">
        <v>0</v>
      </c>
      <c r="O223" s="137">
        <v>4000</v>
      </c>
      <c r="P223" s="137">
        <v>1</v>
      </c>
      <c r="Q223" s="182" t="s">
        <v>492</v>
      </c>
      <c r="R223" s="5">
        <v>0</v>
      </c>
      <c r="S223" s="149">
        <v>0</v>
      </c>
      <c r="T223" s="149">
        <v>0</v>
      </c>
      <c r="U223" s="150">
        <v>0</v>
      </c>
      <c r="V223" s="5" t="e">
        <v>#REF!</v>
      </c>
      <c r="W223" s="5" t="e">
        <v>#REF!</v>
      </c>
      <c r="X223" s="5"/>
      <c r="Y223" s="5"/>
      <c r="Z223" s="5"/>
      <c r="AA223" s="5"/>
      <c r="AB223" s="5"/>
      <c r="AC223" s="5"/>
      <c r="AD223" s="5"/>
      <c r="AE223" s="5"/>
      <c r="AF223" s="5"/>
      <c r="AG223" s="5"/>
      <c r="AH223" s="5"/>
      <c r="AI223" s="5"/>
      <c r="AJ223" s="5"/>
      <c r="AK223" s="5"/>
    </row>
    <row r="224" spans="1:37" ht="15" customHeight="1" hidden="1">
      <c r="A224" s="70" t="s">
        <v>659</v>
      </c>
      <c r="B224" s="70" t="s">
        <v>660</v>
      </c>
      <c r="C224" s="45">
        <v>0</v>
      </c>
      <c r="D224" s="42">
        <v>0</v>
      </c>
      <c r="E224" s="252"/>
      <c r="F224" s="29" t="s">
        <v>596</v>
      </c>
      <c r="G224" s="39"/>
      <c r="H224" s="39"/>
      <c r="I224" s="40"/>
      <c r="J224" s="47">
        <v>0</v>
      </c>
      <c r="K224" s="37">
        <v>0</v>
      </c>
      <c r="L224" s="43">
        <v>0</v>
      </c>
      <c r="M224" s="43">
        <v>0</v>
      </c>
      <c r="N224" s="49">
        <v>0</v>
      </c>
      <c r="O224" s="137">
        <v>4000</v>
      </c>
      <c r="P224" s="137">
        <v>1</v>
      </c>
      <c r="Q224" s="182" t="s">
        <v>492</v>
      </c>
      <c r="R224" s="5">
        <v>0</v>
      </c>
      <c r="S224" s="149">
        <v>0</v>
      </c>
      <c r="T224" s="149">
        <v>0</v>
      </c>
      <c r="U224" s="150">
        <v>0</v>
      </c>
      <c r="V224" s="5" t="e">
        <v>#REF!</v>
      </c>
      <c r="W224" s="5" t="e">
        <v>#REF!</v>
      </c>
      <c r="X224" s="5"/>
      <c r="Y224" s="5"/>
      <c r="Z224" s="5"/>
      <c r="AA224" s="5"/>
      <c r="AB224" s="5"/>
      <c r="AC224" s="5"/>
      <c r="AD224" s="5"/>
      <c r="AE224" s="5"/>
      <c r="AF224" s="5"/>
      <c r="AG224" s="5"/>
      <c r="AH224" s="5"/>
      <c r="AI224" s="5"/>
      <c r="AJ224" s="5"/>
      <c r="AK224" s="5"/>
    </row>
    <row r="225" spans="1:37" ht="15" customHeight="1">
      <c r="A225" s="70" t="s">
        <v>661</v>
      </c>
      <c r="B225" s="70" t="s">
        <v>662</v>
      </c>
      <c r="C225" s="45">
        <v>0</v>
      </c>
      <c r="D225" s="42">
        <v>0</v>
      </c>
      <c r="E225" s="252"/>
      <c r="F225" s="29" t="s">
        <v>596</v>
      </c>
      <c r="G225" s="39"/>
      <c r="H225" s="39"/>
      <c r="I225" s="40"/>
      <c r="J225" s="47">
        <v>0</v>
      </c>
      <c r="K225" s="37">
        <v>0</v>
      </c>
      <c r="L225" s="43">
        <v>0</v>
      </c>
      <c r="M225" s="43">
        <v>0</v>
      </c>
      <c r="N225" s="49">
        <v>0</v>
      </c>
      <c r="O225" s="137">
        <v>4000</v>
      </c>
      <c r="P225" s="137">
        <v>1</v>
      </c>
      <c r="Q225" s="182" t="s">
        <v>492</v>
      </c>
      <c r="R225" s="5">
        <v>0</v>
      </c>
      <c r="S225" s="149">
        <v>0</v>
      </c>
      <c r="T225" s="149">
        <v>0</v>
      </c>
      <c r="U225" s="150">
        <v>0</v>
      </c>
      <c r="V225" s="5" t="e">
        <v>#REF!</v>
      </c>
      <c r="W225" s="5" t="e">
        <v>#REF!</v>
      </c>
      <c r="X225" s="5"/>
      <c r="Y225" s="5"/>
      <c r="Z225" s="5"/>
      <c r="AA225" s="5"/>
      <c r="AB225" s="5"/>
      <c r="AC225" s="5"/>
      <c r="AD225" s="5"/>
      <c r="AE225" s="5"/>
      <c r="AF225" s="5"/>
      <c r="AG225" s="5"/>
      <c r="AH225" s="5"/>
      <c r="AI225" s="5"/>
      <c r="AJ225" s="5"/>
      <c r="AK225" s="5"/>
    </row>
    <row r="226" spans="1:37" ht="15" customHeight="1">
      <c r="A226" s="70" t="s">
        <v>354</v>
      </c>
      <c r="B226" s="70" t="s">
        <v>732</v>
      </c>
      <c r="C226" s="45">
        <v>0</v>
      </c>
      <c r="D226" s="42">
        <v>0</v>
      </c>
      <c r="E226" s="252"/>
      <c r="F226" s="29" t="s">
        <v>596</v>
      </c>
      <c r="G226" s="39"/>
      <c r="H226" s="39"/>
      <c r="I226" s="40"/>
      <c r="J226" s="47">
        <v>0</v>
      </c>
      <c r="K226" s="37">
        <v>0</v>
      </c>
      <c r="L226" s="43">
        <v>0</v>
      </c>
      <c r="M226" s="43">
        <v>0</v>
      </c>
      <c r="N226" s="49">
        <v>0</v>
      </c>
      <c r="O226" s="137">
        <v>4000</v>
      </c>
      <c r="P226" s="137">
        <v>1</v>
      </c>
      <c r="Q226" s="182" t="s">
        <v>492</v>
      </c>
      <c r="R226" s="5">
        <v>0</v>
      </c>
      <c r="S226" s="149">
        <v>0</v>
      </c>
      <c r="T226" s="149">
        <v>0</v>
      </c>
      <c r="U226" s="150">
        <v>0</v>
      </c>
      <c r="V226" s="5" t="e">
        <v>#REF!</v>
      </c>
      <c r="W226" s="5" t="e">
        <v>#REF!</v>
      </c>
      <c r="X226" s="5"/>
      <c r="Y226" s="5"/>
      <c r="Z226" s="5"/>
      <c r="AA226" s="5"/>
      <c r="AB226" s="5"/>
      <c r="AC226" s="5"/>
      <c r="AD226" s="5"/>
      <c r="AE226" s="5"/>
      <c r="AF226" s="5"/>
      <c r="AG226" s="5"/>
      <c r="AH226" s="5"/>
      <c r="AI226" s="5"/>
      <c r="AJ226" s="5"/>
      <c r="AK226" s="5"/>
    </row>
    <row r="227" spans="1:37" ht="15" customHeight="1">
      <c r="A227" s="70" t="s">
        <v>358</v>
      </c>
      <c r="B227" s="70" t="s">
        <v>594</v>
      </c>
      <c r="C227" s="45">
        <v>0</v>
      </c>
      <c r="D227" s="42">
        <v>0</v>
      </c>
      <c r="E227" s="252"/>
      <c r="F227" s="29" t="s">
        <v>596</v>
      </c>
      <c r="G227" s="39"/>
      <c r="H227" s="39"/>
      <c r="I227" s="255"/>
      <c r="J227" s="47">
        <v>0</v>
      </c>
      <c r="K227" s="37">
        <v>0</v>
      </c>
      <c r="L227" s="43">
        <v>0</v>
      </c>
      <c r="M227" s="43">
        <v>0</v>
      </c>
      <c r="N227" s="49">
        <v>0</v>
      </c>
      <c r="O227" s="137">
        <v>4000</v>
      </c>
      <c r="P227" s="137">
        <v>1</v>
      </c>
      <c r="Q227" s="182" t="s">
        <v>492</v>
      </c>
      <c r="R227" s="5">
        <v>0</v>
      </c>
      <c r="S227" s="149">
        <v>0</v>
      </c>
      <c r="T227" s="149">
        <v>0</v>
      </c>
      <c r="U227" s="150">
        <v>0</v>
      </c>
      <c r="V227" s="5" t="e">
        <v>#REF!</v>
      </c>
      <c r="W227" s="5" t="e">
        <v>#REF!</v>
      </c>
      <c r="X227" s="5"/>
      <c r="Y227" s="5"/>
      <c r="Z227" s="5"/>
      <c r="AA227" s="5"/>
      <c r="AB227" s="5"/>
      <c r="AC227" s="5"/>
      <c r="AD227" s="5"/>
      <c r="AE227" s="5"/>
      <c r="AF227" s="5"/>
      <c r="AG227" s="5"/>
      <c r="AH227" s="5"/>
      <c r="AI227" s="5"/>
      <c r="AJ227" s="5"/>
      <c r="AK227" s="5"/>
    </row>
    <row r="228" spans="1:37" ht="15" customHeight="1">
      <c r="A228" s="70" t="s">
        <v>360</v>
      </c>
      <c r="B228" s="70" t="s">
        <v>663</v>
      </c>
      <c r="C228" s="45">
        <v>0</v>
      </c>
      <c r="D228" s="42">
        <v>0</v>
      </c>
      <c r="E228" s="252"/>
      <c r="F228" s="29" t="s">
        <v>596</v>
      </c>
      <c r="G228" s="39"/>
      <c r="H228" s="39"/>
      <c r="I228" s="40"/>
      <c r="J228" s="47">
        <v>0</v>
      </c>
      <c r="K228" s="37">
        <v>0</v>
      </c>
      <c r="L228" s="43">
        <v>0</v>
      </c>
      <c r="M228" s="43">
        <v>0</v>
      </c>
      <c r="N228" s="49">
        <v>0</v>
      </c>
      <c r="O228" s="137">
        <v>4000</v>
      </c>
      <c r="P228" s="137">
        <v>1</v>
      </c>
      <c r="Q228" s="182" t="s">
        <v>492</v>
      </c>
      <c r="R228" s="5">
        <v>0</v>
      </c>
      <c r="S228" s="149">
        <v>0</v>
      </c>
      <c r="T228" s="149">
        <v>0</v>
      </c>
      <c r="U228" s="150">
        <v>0</v>
      </c>
      <c r="V228" s="5" t="e">
        <v>#REF!</v>
      </c>
      <c r="W228" s="5" t="e">
        <v>#REF!</v>
      </c>
      <c r="X228" s="5"/>
      <c r="Y228" s="5"/>
      <c r="Z228" s="5"/>
      <c r="AA228" s="5"/>
      <c r="AB228" s="5"/>
      <c r="AC228" s="5"/>
      <c r="AD228" s="5"/>
      <c r="AE228" s="5"/>
      <c r="AF228" s="5"/>
      <c r="AG228" s="5"/>
      <c r="AH228" s="5"/>
      <c r="AI228" s="5"/>
      <c r="AJ228" s="5"/>
      <c r="AK228" s="5"/>
    </row>
    <row r="229" spans="1:37" ht="15" customHeight="1">
      <c r="A229" s="70" t="s">
        <v>362</v>
      </c>
      <c r="B229" s="70" t="s">
        <v>664</v>
      </c>
      <c r="C229" s="45">
        <v>0</v>
      </c>
      <c r="D229" s="42">
        <v>0</v>
      </c>
      <c r="E229" s="252"/>
      <c r="F229" s="29" t="s">
        <v>596</v>
      </c>
      <c r="G229" s="39"/>
      <c r="H229" s="39"/>
      <c r="I229" s="255"/>
      <c r="J229" s="47">
        <v>0</v>
      </c>
      <c r="K229" s="37">
        <v>0</v>
      </c>
      <c r="L229" s="43">
        <v>0</v>
      </c>
      <c r="M229" s="43">
        <v>0</v>
      </c>
      <c r="N229" s="49">
        <v>0</v>
      </c>
      <c r="O229" s="137">
        <v>4000</v>
      </c>
      <c r="P229" s="137">
        <v>1</v>
      </c>
      <c r="Q229" s="182" t="s">
        <v>492</v>
      </c>
      <c r="R229" s="5">
        <v>0</v>
      </c>
      <c r="S229" s="149">
        <v>0</v>
      </c>
      <c r="T229" s="149">
        <v>0</v>
      </c>
      <c r="U229" s="150">
        <v>0</v>
      </c>
      <c r="V229" s="5" t="e">
        <v>#REF!</v>
      </c>
      <c r="W229" s="5" t="e">
        <v>#REF!</v>
      </c>
      <c r="X229" s="5"/>
      <c r="Y229" s="5"/>
      <c r="Z229" s="5"/>
      <c r="AA229" s="5"/>
      <c r="AB229" s="5"/>
      <c r="AC229" s="5"/>
      <c r="AD229" s="5"/>
      <c r="AE229" s="5"/>
      <c r="AF229" s="5"/>
      <c r="AG229" s="5"/>
      <c r="AH229" s="5"/>
      <c r="AI229" s="5"/>
      <c r="AJ229" s="5"/>
      <c r="AK229" s="5"/>
    </row>
    <row r="230" spans="1:37" ht="15" customHeight="1" hidden="1">
      <c r="A230" s="70" t="s">
        <v>366</v>
      </c>
      <c r="B230" s="70" t="s">
        <v>578</v>
      </c>
      <c r="C230" s="45">
        <v>0</v>
      </c>
      <c r="D230" s="42">
        <v>0</v>
      </c>
      <c r="E230" s="252"/>
      <c r="F230" s="29" t="s">
        <v>596</v>
      </c>
      <c r="G230" s="39"/>
      <c r="H230" s="39"/>
      <c r="I230" s="40"/>
      <c r="J230" s="47">
        <v>0</v>
      </c>
      <c r="K230" s="37">
        <v>0</v>
      </c>
      <c r="L230" s="43">
        <v>0</v>
      </c>
      <c r="M230" s="43">
        <v>0</v>
      </c>
      <c r="N230" s="49">
        <v>0</v>
      </c>
      <c r="O230" s="137">
        <v>4000</v>
      </c>
      <c r="P230" s="137">
        <v>1</v>
      </c>
      <c r="Q230" s="182" t="s">
        <v>492</v>
      </c>
      <c r="R230" s="5">
        <v>0</v>
      </c>
      <c r="S230" s="149">
        <v>0</v>
      </c>
      <c r="T230" s="149">
        <v>0</v>
      </c>
      <c r="U230" s="150">
        <v>0</v>
      </c>
      <c r="V230" s="5" t="e">
        <v>#REF!</v>
      </c>
      <c r="W230" s="5" t="e">
        <v>#REF!</v>
      </c>
      <c r="X230" s="5"/>
      <c r="Y230" s="5"/>
      <c r="Z230" s="5"/>
      <c r="AA230" s="5"/>
      <c r="AB230" s="5"/>
      <c r="AC230" s="5"/>
      <c r="AD230" s="5"/>
      <c r="AE230" s="5"/>
      <c r="AF230" s="5"/>
      <c r="AG230" s="5"/>
      <c r="AH230" s="5"/>
      <c r="AI230" s="5"/>
      <c r="AJ230" s="5"/>
      <c r="AK230" s="5"/>
    </row>
    <row r="231" spans="1:37" ht="15" customHeight="1" hidden="1">
      <c r="A231" s="70" t="s">
        <v>368</v>
      </c>
      <c r="B231" s="70" t="s">
        <v>733</v>
      </c>
      <c r="C231" s="45">
        <v>0</v>
      </c>
      <c r="D231" s="42">
        <v>0</v>
      </c>
      <c r="E231" s="252"/>
      <c r="F231" s="29" t="s">
        <v>596</v>
      </c>
      <c r="G231" s="39"/>
      <c r="H231" s="39"/>
      <c r="I231" s="40"/>
      <c r="J231" s="47">
        <v>0</v>
      </c>
      <c r="K231" s="37">
        <v>0</v>
      </c>
      <c r="L231" s="43">
        <v>0</v>
      </c>
      <c r="M231" s="43">
        <v>0</v>
      </c>
      <c r="N231" s="49">
        <v>0</v>
      </c>
      <c r="O231" s="137">
        <v>4000</v>
      </c>
      <c r="P231" s="137">
        <v>1</v>
      </c>
      <c r="Q231" s="182" t="s">
        <v>492</v>
      </c>
      <c r="R231" s="5">
        <v>0</v>
      </c>
      <c r="S231" s="149">
        <v>0</v>
      </c>
      <c r="T231" s="149">
        <v>0</v>
      </c>
      <c r="U231" s="150">
        <v>0</v>
      </c>
      <c r="V231" s="5" t="e">
        <v>#REF!</v>
      </c>
      <c r="W231" s="5" t="e">
        <v>#REF!</v>
      </c>
      <c r="X231" s="5"/>
      <c r="Y231" s="5"/>
      <c r="Z231" s="5"/>
      <c r="AA231" s="5"/>
      <c r="AB231" s="5"/>
      <c r="AC231" s="5"/>
      <c r="AD231" s="5"/>
      <c r="AE231" s="5"/>
      <c r="AF231" s="5"/>
      <c r="AG231" s="5"/>
      <c r="AH231" s="5"/>
      <c r="AI231" s="5"/>
      <c r="AJ231" s="5"/>
      <c r="AK231" s="5"/>
    </row>
    <row r="232" spans="1:37" ht="15" customHeight="1" hidden="1">
      <c r="A232" s="70" t="s">
        <v>370</v>
      </c>
      <c r="B232" s="70" t="s">
        <v>734</v>
      </c>
      <c r="C232" s="45">
        <v>0</v>
      </c>
      <c r="D232" s="42">
        <v>0</v>
      </c>
      <c r="E232" s="252"/>
      <c r="F232" s="29" t="s">
        <v>596</v>
      </c>
      <c r="G232" s="39"/>
      <c r="H232" s="39"/>
      <c r="I232" s="40"/>
      <c r="J232" s="47">
        <v>0</v>
      </c>
      <c r="K232" s="37">
        <v>0</v>
      </c>
      <c r="L232" s="43">
        <v>0</v>
      </c>
      <c r="M232" s="43">
        <v>0</v>
      </c>
      <c r="N232" s="49">
        <v>0</v>
      </c>
      <c r="O232" s="137">
        <v>4000</v>
      </c>
      <c r="P232" s="137">
        <v>1</v>
      </c>
      <c r="Q232" s="182" t="s">
        <v>492</v>
      </c>
      <c r="R232" s="5">
        <v>0</v>
      </c>
      <c r="S232" s="149">
        <v>0</v>
      </c>
      <c r="T232" s="149">
        <v>0</v>
      </c>
      <c r="U232" s="150">
        <v>0</v>
      </c>
      <c r="V232" s="5" t="e">
        <v>#REF!</v>
      </c>
      <c r="W232" s="5" t="e">
        <v>#REF!</v>
      </c>
      <c r="X232" s="5"/>
      <c r="Y232" s="5"/>
      <c r="Z232" s="5"/>
      <c r="AA232" s="5"/>
      <c r="AB232" s="5"/>
      <c r="AC232" s="5"/>
      <c r="AD232" s="5"/>
      <c r="AE232" s="5"/>
      <c r="AF232" s="5"/>
      <c r="AG232" s="5"/>
      <c r="AH232" s="5"/>
      <c r="AI232" s="5"/>
      <c r="AJ232" s="5"/>
      <c r="AK232" s="5"/>
    </row>
    <row r="233" spans="1:37" ht="15" customHeight="1" hidden="1">
      <c r="A233" s="70" t="s">
        <v>665</v>
      </c>
      <c r="B233" s="70" t="s">
        <v>666</v>
      </c>
      <c r="C233" s="45">
        <v>0</v>
      </c>
      <c r="D233" s="42">
        <v>46.12</v>
      </c>
      <c r="E233" s="252"/>
      <c r="F233" s="29" t="s">
        <v>596</v>
      </c>
      <c r="G233" s="39"/>
      <c r="H233" s="39">
        <v>46.12</v>
      </c>
      <c r="I233" s="40"/>
      <c r="J233" s="47">
        <v>0</v>
      </c>
      <c r="K233" s="37">
        <v>0</v>
      </c>
      <c r="L233" s="43">
        <v>0</v>
      </c>
      <c r="M233" s="43">
        <v>0</v>
      </c>
      <c r="N233" s="49">
        <v>0</v>
      </c>
      <c r="O233" s="137">
        <v>1600</v>
      </c>
      <c r="P233" s="137">
        <v>1</v>
      </c>
      <c r="Q233" s="182" t="s">
        <v>492</v>
      </c>
      <c r="R233" s="5">
        <v>0</v>
      </c>
      <c r="S233" s="149">
        <v>0</v>
      </c>
      <c r="T233" s="149">
        <v>0</v>
      </c>
      <c r="U233" s="150">
        <v>0</v>
      </c>
      <c r="V233" s="5" t="e">
        <v>#REF!</v>
      </c>
      <c r="W233" s="5" t="e">
        <v>#REF!</v>
      </c>
      <c r="X233" s="5"/>
      <c r="Y233" s="5"/>
      <c r="Z233" s="5"/>
      <c r="AA233" s="5"/>
      <c r="AB233" s="5"/>
      <c r="AC233" s="5"/>
      <c r="AD233" s="5"/>
      <c r="AE233" s="5"/>
      <c r="AF233" s="5"/>
      <c r="AG233" s="5"/>
      <c r="AH233" s="5"/>
      <c r="AI233" s="5"/>
      <c r="AJ233" s="5"/>
      <c r="AK233" s="5"/>
    </row>
    <row r="234" spans="1:37" ht="15" customHeight="1" hidden="1">
      <c r="A234" s="70" t="s">
        <v>356</v>
      </c>
      <c r="B234" s="70" t="s">
        <v>575</v>
      </c>
      <c r="C234" s="45">
        <v>0</v>
      </c>
      <c r="D234" s="42">
        <v>0</v>
      </c>
      <c r="E234" s="252"/>
      <c r="F234" s="29" t="s">
        <v>596</v>
      </c>
      <c r="G234" s="39"/>
      <c r="H234" s="39"/>
      <c r="I234" s="40"/>
      <c r="J234" s="47">
        <v>0</v>
      </c>
      <c r="K234" s="37">
        <v>0</v>
      </c>
      <c r="L234" s="43">
        <v>0</v>
      </c>
      <c r="M234" s="43">
        <v>0</v>
      </c>
      <c r="N234" s="49">
        <v>0</v>
      </c>
      <c r="O234" s="137">
        <v>4000</v>
      </c>
      <c r="P234" s="137">
        <v>1</v>
      </c>
      <c r="Q234" s="182" t="s">
        <v>492</v>
      </c>
      <c r="R234" s="5">
        <v>0</v>
      </c>
      <c r="S234" s="149">
        <v>0</v>
      </c>
      <c r="T234" s="149">
        <v>0</v>
      </c>
      <c r="U234" s="150">
        <v>0</v>
      </c>
      <c r="V234" s="5" t="e">
        <v>#REF!</v>
      </c>
      <c r="W234" s="5" t="e">
        <v>#REF!</v>
      </c>
      <c r="X234" s="5"/>
      <c r="Y234" s="5"/>
      <c r="Z234" s="5"/>
      <c r="AA234" s="5"/>
      <c r="AB234" s="5"/>
      <c r="AC234" s="5"/>
      <c r="AD234" s="5"/>
      <c r="AE234" s="5"/>
      <c r="AF234" s="5"/>
      <c r="AG234" s="5"/>
      <c r="AH234" s="5"/>
      <c r="AI234" s="5"/>
      <c r="AJ234" s="5"/>
      <c r="AK234" s="5"/>
    </row>
    <row r="235" spans="1:37" ht="15" customHeight="1" hidden="1">
      <c r="A235" s="70" t="s">
        <v>358</v>
      </c>
      <c r="B235" s="70" t="s">
        <v>594</v>
      </c>
      <c r="C235" s="45">
        <v>0</v>
      </c>
      <c r="D235" s="42">
        <v>0</v>
      </c>
      <c r="E235" s="252"/>
      <c r="F235" s="29" t="s">
        <v>596</v>
      </c>
      <c r="G235" s="39"/>
      <c r="H235" s="39"/>
      <c r="I235" s="40"/>
      <c r="J235" s="47">
        <v>0</v>
      </c>
      <c r="K235" s="37">
        <v>0</v>
      </c>
      <c r="L235" s="43">
        <v>0</v>
      </c>
      <c r="M235" s="43">
        <v>0</v>
      </c>
      <c r="N235" s="49">
        <v>0</v>
      </c>
      <c r="O235" s="137">
        <v>4000</v>
      </c>
      <c r="P235" s="137">
        <v>1</v>
      </c>
      <c r="Q235" s="182" t="s">
        <v>492</v>
      </c>
      <c r="R235" s="5">
        <v>0</v>
      </c>
      <c r="S235" s="149">
        <v>0</v>
      </c>
      <c r="T235" s="149">
        <v>0</v>
      </c>
      <c r="U235" s="150">
        <v>0</v>
      </c>
      <c r="V235" s="5" t="e">
        <v>#REF!</v>
      </c>
      <c r="W235" s="5" t="e">
        <v>#REF!</v>
      </c>
      <c r="X235" s="5"/>
      <c r="Y235" s="5"/>
      <c r="Z235" s="5"/>
      <c r="AA235" s="5"/>
      <c r="AB235" s="5"/>
      <c r="AC235" s="5"/>
      <c r="AD235" s="5"/>
      <c r="AE235" s="5"/>
      <c r="AF235" s="5"/>
      <c r="AG235" s="5"/>
      <c r="AH235" s="5"/>
      <c r="AI235" s="5"/>
      <c r="AJ235" s="5"/>
      <c r="AK235" s="5"/>
    </row>
    <row r="236" spans="1:37" ht="15" customHeight="1" hidden="1">
      <c r="A236" s="70" t="s">
        <v>360</v>
      </c>
      <c r="B236" s="70" t="s">
        <v>663</v>
      </c>
      <c r="C236" s="45">
        <v>0</v>
      </c>
      <c r="D236" s="42">
        <v>0</v>
      </c>
      <c r="E236" s="252"/>
      <c r="F236" s="29" t="s">
        <v>596</v>
      </c>
      <c r="G236" s="39"/>
      <c r="H236" s="39"/>
      <c r="I236" s="40"/>
      <c r="J236" s="47">
        <v>0</v>
      </c>
      <c r="K236" s="37">
        <v>0</v>
      </c>
      <c r="L236" s="43">
        <v>0</v>
      </c>
      <c r="M236" s="43">
        <v>0</v>
      </c>
      <c r="N236" s="49">
        <v>0</v>
      </c>
      <c r="O236" s="137">
        <v>4000</v>
      </c>
      <c r="P236" s="137">
        <v>1</v>
      </c>
      <c r="Q236" s="182" t="s">
        <v>492</v>
      </c>
      <c r="R236" s="5">
        <v>0</v>
      </c>
      <c r="S236" s="149">
        <v>0</v>
      </c>
      <c r="T236" s="149">
        <v>0</v>
      </c>
      <c r="U236" s="150">
        <v>0</v>
      </c>
      <c r="V236" s="5" t="e">
        <v>#REF!</v>
      </c>
      <c r="W236" s="5" t="e">
        <v>#REF!</v>
      </c>
      <c r="X236" s="5"/>
      <c r="Y236" s="5"/>
      <c r="Z236" s="5"/>
      <c r="AA236" s="5"/>
      <c r="AB236" s="5"/>
      <c r="AC236" s="5"/>
      <c r="AD236" s="5"/>
      <c r="AE236" s="5"/>
      <c r="AF236" s="5"/>
      <c r="AG236" s="5"/>
      <c r="AH236" s="5"/>
      <c r="AI236" s="5"/>
      <c r="AJ236" s="5"/>
      <c r="AK236" s="5"/>
    </row>
    <row r="237" spans="1:37" ht="15" customHeight="1">
      <c r="A237" s="70" t="s">
        <v>362</v>
      </c>
      <c r="B237" s="70" t="s">
        <v>664</v>
      </c>
      <c r="C237" s="45">
        <v>0</v>
      </c>
      <c r="D237" s="42">
        <v>0</v>
      </c>
      <c r="E237" s="252"/>
      <c r="F237" s="29" t="s">
        <v>596</v>
      </c>
      <c r="G237" s="39"/>
      <c r="H237" s="39"/>
      <c r="I237" s="40"/>
      <c r="J237" s="47">
        <v>0</v>
      </c>
      <c r="K237" s="37">
        <v>0</v>
      </c>
      <c r="L237" s="43">
        <v>0</v>
      </c>
      <c r="M237" s="43">
        <v>0</v>
      </c>
      <c r="N237" s="49">
        <v>0</v>
      </c>
      <c r="O237" s="137">
        <v>4000</v>
      </c>
      <c r="P237" s="137">
        <v>1</v>
      </c>
      <c r="Q237" s="182" t="s">
        <v>492</v>
      </c>
      <c r="R237" s="5">
        <v>0</v>
      </c>
      <c r="S237" s="149">
        <v>0</v>
      </c>
      <c r="T237" s="149">
        <v>0</v>
      </c>
      <c r="U237" s="150">
        <v>0</v>
      </c>
      <c r="V237" s="5" t="e">
        <v>#REF!</v>
      </c>
      <c r="W237" s="5" t="e">
        <v>#REF!</v>
      </c>
      <c r="X237" s="5"/>
      <c r="Y237" s="5"/>
      <c r="Z237" s="5"/>
      <c r="AA237" s="5"/>
      <c r="AB237" s="5"/>
      <c r="AC237" s="5"/>
      <c r="AD237" s="5"/>
      <c r="AE237" s="5"/>
      <c r="AF237" s="5"/>
      <c r="AG237" s="5"/>
      <c r="AH237" s="5"/>
      <c r="AI237" s="5"/>
      <c r="AJ237" s="5"/>
      <c r="AK237" s="5"/>
    </row>
    <row r="238" spans="1:37" ht="15" customHeight="1">
      <c r="A238" s="70" t="s">
        <v>364</v>
      </c>
      <c r="B238" s="70" t="s">
        <v>577</v>
      </c>
      <c r="C238" s="45">
        <v>0</v>
      </c>
      <c r="D238" s="42">
        <v>0</v>
      </c>
      <c r="E238" s="252"/>
      <c r="F238" s="29" t="s">
        <v>596</v>
      </c>
      <c r="G238" s="39"/>
      <c r="H238" s="39"/>
      <c r="I238" s="255"/>
      <c r="J238" s="47">
        <v>0</v>
      </c>
      <c r="K238" s="37">
        <v>0</v>
      </c>
      <c r="L238" s="43">
        <v>0</v>
      </c>
      <c r="M238" s="43">
        <v>0</v>
      </c>
      <c r="N238" s="49">
        <v>0</v>
      </c>
      <c r="O238" s="137">
        <v>4000</v>
      </c>
      <c r="P238" s="137">
        <v>1</v>
      </c>
      <c r="Q238" s="182" t="s">
        <v>492</v>
      </c>
      <c r="R238" s="5">
        <v>0</v>
      </c>
      <c r="S238" s="149">
        <v>0</v>
      </c>
      <c r="T238" s="149">
        <v>0</v>
      </c>
      <c r="U238" s="150">
        <v>0</v>
      </c>
      <c r="V238" s="5" t="e">
        <v>#REF!</v>
      </c>
      <c r="W238" s="5" t="e">
        <v>#REF!</v>
      </c>
      <c r="X238" s="5"/>
      <c r="Y238" s="5"/>
      <c r="Z238" s="5"/>
      <c r="AA238" s="5"/>
      <c r="AB238" s="5"/>
      <c r="AC238" s="5"/>
      <c r="AD238" s="5"/>
      <c r="AE238" s="5"/>
      <c r="AF238" s="5"/>
      <c r="AG238" s="5"/>
      <c r="AH238" s="5"/>
      <c r="AI238" s="5"/>
      <c r="AJ238" s="5"/>
      <c r="AK238" s="5"/>
    </row>
    <row r="239" spans="1:37" ht="15" customHeight="1">
      <c r="A239" s="70" t="s">
        <v>366</v>
      </c>
      <c r="B239" s="70" t="s">
        <v>578</v>
      </c>
      <c r="C239" s="45">
        <v>0</v>
      </c>
      <c r="D239" s="42">
        <v>0</v>
      </c>
      <c r="E239" s="252"/>
      <c r="F239" s="29" t="s">
        <v>596</v>
      </c>
      <c r="G239" s="39"/>
      <c r="H239" s="39"/>
      <c r="I239" s="40"/>
      <c r="J239" s="47">
        <v>0</v>
      </c>
      <c r="K239" s="37">
        <v>0</v>
      </c>
      <c r="L239" s="43">
        <v>0</v>
      </c>
      <c r="M239" s="43">
        <v>0</v>
      </c>
      <c r="N239" s="49">
        <v>0</v>
      </c>
      <c r="O239" s="137">
        <v>4000</v>
      </c>
      <c r="P239" s="137">
        <v>1</v>
      </c>
      <c r="Q239" s="182" t="s">
        <v>492</v>
      </c>
      <c r="R239" s="5">
        <v>0</v>
      </c>
      <c r="S239" s="149">
        <v>0</v>
      </c>
      <c r="T239" s="149">
        <v>0</v>
      </c>
      <c r="U239" s="150">
        <v>0</v>
      </c>
      <c r="V239" s="5" t="e">
        <v>#REF!</v>
      </c>
      <c r="W239" s="5" t="e">
        <v>#REF!</v>
      </c>
      <c r="X239" s="5"/>
      <c r="Y239" s="5"/>
      <c r="Z239" s="5"/>
      <c r="AA239" s="5"/>
      <c r="AB239" s="5"/>
      <c r="AC239" s="5"/>
      <c r="AD239" s="5"/>
      <c r="AE239" s="5"/>
      <c r="AF239" s="5"/>
      <c r="AG239" s="5"/>
      <c r="AH239" s="5"/>
      <c r="AI239" s="5"/>
      <c r="AJ239" s="5"/>
      <c r="AK239" s="5"/>
    </row>
    <row r="240" spans="1:37" ht="15" customHeight="1">
      <c r="A240" s="70" t="s">
        <v>368</v>
      </c>
      <c r="B240" s="70" t="s">
        <v>612</v>
      </c>
      <c r="C240" s="45">
        <v>0</v>
      </c>
      <c r="D240" s="42">
        <v>0</v>
      </c>
      <c r="E240" s="252"/>
      <c r="F240" s="29" t="s">
        <v>596</v>
      </c>
      <c r="G240" s="39"/>
      <c r="H240" s="39"/>
      <c r="I240" s="40"/>
      <c r="J240" s="47">
        <v>0</v>
      </c>
      <c r="K240" s="37">
        <v>0</v>
      </c>
      <c r="L240" s="43">
        <v>0</v>
      </c>
      <c r="M240" s="43">
        <v>0</v>
      </c>
      <c r="N240" s="49">
        <v>0</v>
      </c>
      <c r="O240" s="137">
        <v>4000</v>
      </c>
      <c r="P240" s="137">
        <v>1</v>
      </c>
      <c r="Q240" s="182" t="s">
        <v>492</v>
      </c>
      <c r="R240" s="5">
        <v>0</v>
      </c>
      <c r="S240" s="149">
        <v>0</v>
      </c>
      <c r="T240" s="149">
        <v>0</v>
      </c>
      <c r="U240" s="150">
        <v>0</v>
      </c>
      <c r="V240" s="5" t="e">
        <v>#REF!</v>
      </c>
      <c r="W240" s="5" t="e">
        <v>#REF!</v>
      </c>
      <c r="X240" s="5"/>
      <c r="Y240" s="5"/>
      <c r="Z240" s="5"/>
      <c r="AA240" s="5"/>
      <c r="AB240" s="5"/>
      <c r="AC240" s="5"/>
      <c r="AD240" s="5"/>
      <c r="AE240" s="5"/>
      <c r="AF240" s="5"/>
      <c r="AG240" s="5"/>
      <c r="AH240" s="5"/>
      <c r="AI240" s="5"/>
      <c r="AJ240" s="5"/>
      <c r="AK240" s="5"/>
    </row>
    <row r="241" spans="1:37" ht="15" customHeight="1">
      <c r="A241" s="70" t="s">
        <v>370</v>
      </c>
      <c r="B241" s="70" t="s">
        <v>580</v>
      </c>
      <c r="C241" s="45">
        <v>0</v>
      </c>
      <c r="D241" s="42">
        <v>0</v>
      </c>
      <c r="E241" s="252"/>
      <c r="F241" s="29" t="s">
        <v>596</v>
      </c>
      <c r="G241" s="39"/>
      <c r="H241" s="39"/>
      <c r="I241" s="40"/>
      <c r="J241" s="47">
        <v>0</v>
      </c>
      <c r="K241" s="37">
        <v>0</v>
      </c>
      <c r="L241" s="43">
        <v>0</v>
      </c>
      <c r="M241" s="43">
        <v>0</v>
      </c>
      <c r="N241" s="49">
        <v>0</v>
      </c>
      <c r="O241" s="137">
        <v>4000</v>
      </c>
      <c r="P241" s="137">
        <v>1</v>
      </c>
      <c r="Q241" s="182" t="s">
        <v>492</v>
      </c>
      <c r="R241" s="5">
        <v>0</v>
      </c>
      <c r="S241" s="149">
        <v>0</v>
      </c>
      <c r="T241" s="149">
        <v>0</v>
      </c>
      <c r="U241" s="150">
        <v>0</v>
      </c>
      <c r="V241" s="5" t="e">
        <v>#REF!</v>
      </c>
      <c r="W241" s="5" t="e">
        <v>#REF!</v>
      </c>
      <c r="X241" s="5"/>
      <c r="Y241" s="5"/>
      <c r="Z241" s="5"/>
      <c r="AA241" s="5"/>
      <c r="AB241" s="5"/>
      <c r="AC241" s="5"/>
      <c r="AD241" s="5"/>
      <c r="AE241" s="5"/>
      <c r="AF241" s="5"/>
      <c r="AG241" s="5"/>
      <c r="AH241" s="5"/>
      <c r="AI241" s="5"/>
      <c r="AJ241" s="5"/>
      <c r="AK241" s="5"/>
    </row>
    <row r="242" spans="1:37" ht="15" customHeight="1">
      <c r="A242" s="70" t="s">
        <v>665</v>
      </c>
      <c r="B242" s="70" t="s">
        <v>666</v>
      </c>
      <c r="C242" s="45">
        <v>0</v>
      </c>
      <c r="D242" s="42">
        <v>35.36</v>
      </c>
      <c r="E242" s="252"/>
      <c r="F242" s="29" t="s">
        <v>596</v>
      </c>
      <c r="G242" s="39"/>
      <c r="H242" s="39">
        <v>35.36</v>
      </c>
      <c r="I242" s="40"/>
      <c r="J242" s="47">
        <v>0</v>
      </c>
      <c r="K242" s="37">
        <v>0</v>
      </c>
      <c r="L242" s="43">
        <v>0</v>
      </c>
      <c r="M242" s="43">
        <v>0</v>
      </c>
      <c r="N242" s="49">
        <v>0</v>
      </c>
      <c r="O242" s="137">
        <v>1600</v>
      </c>
      <c r="P242" s="137">
        <v>1</v>
      </c>
      <c r="Q242" s="182" t="s">
        <v>492</v>
      </c>
      <c r="R242" s="5">
        <v>0</v>
      </c>
      <c r="S242" s="149">
        <v>0</v>
      </c>
      <c r="T242" s="149">
        <v>0</v>
      </c>
      <c r="U242" s="150">
        <v>0</v>
      </c>
      <c r="V242" s="5" t="e">
        <v>#REF!</v>
      </c>
      <c r="W242" s="5" t="e">
        <v>#REF!</v>
      </c>
      <c r="X242" s="5"/>
      <c r="Y242" s="5"/>
      <c r="Z242" s="5"/>
      <c r="AA242" s="5"/>
      <c r="AB242" s="5"/>
      <c r="AC242" s="5"/>
      <c r="AD242" s="5"/>
      <c r="AE242" s="5"/>
      <c r="AF242" s="5"/>
      <c r="AG242" s="5"/>
      <c r="AH242" s="5"/>
      <c r="AI242" s="5"/>
      <c r="AJ242" s="5"/>
      <c r="AK242" s="5"/>
    </row>
    <row r="243" spans="1:37" ht="15" customHeight="1">
      <c r="A243" s="70" t="s">
        <v>492</v>
      </c>
      <c r="B243" s="70" t="s">
        <v>492</v>
      </c>
      <c r="C243" s="45"/>
      <c r="D243" s="42"/>
      <c r="E243" s="252">
        <v>0</v>
      </c>
      <c r="F243" s="29" t="s">
        <v>596</v>
      </c>
      <c r="G243" s="39"/>
      <c r="H243" s="39"/>
      <c r="I243" s="40"/>
      <c r="J243" s="47">
        <v>0</v>
      </c>
      <c r="K243" s="37">
        <v>0</v>
      </c>
      <c r="L243" s="43">
        <v>0</v>
      </c>
      <c r="M243" s="43">
        <v>0</v>
      </c>
      <c r="N243" s="49">
        <v>0</v>
      </c>
      <c r="O243" s="137">
        <v>0</v>
      </c>
      <c r="P243" s="137" t="s">
        <v>492</v>
      </c>
      <c r="Q243" s="182" t="s">
        <v>492</v>
      </c>
      <c r="R243" s="5">
        <v>0</v>
      </c>
      <c r="S243" s="149">
        <v>0</v>
      </c>
      <c r="T243" s="149">
        <v>0</v>
      </c>
      <c r="U243" s="150">
        <v>0</v>
      </c>
      <c r="V243" s="5" t="e">
        <v>#REF!</v>
      </c>
      <c r="W243" s="5" t="e">
        <v>#REF!</v>
      </c>
      <c r="X243" s="5"/>
      <c r="Y243" s="5"/>
      <c r="Z243" s="5"/>
      <c r="AA243" s="5"/>
      <c r="AB243" s="5"/>
      <c r="AC243" s="5"/>
      <c r="AD243" s="5"/>
      <c r="AE243" s="5"/>
      <c r="AF243" s="5"/>
      <c r="AG243" s="5"/>
      <c r="AH243" s="5"/>
      <c r="AI243" s="5"/>
      <c r="AJ243" s="5"/>
      <c r="AK243" s="5"/>
    </row>
    <row r="244" spans="1:37" ht="15" customHeight="1">
      <c r="A244" s="70" t="s">
        <v>492</v>
      </c>
      <c r="B244" s="70" t="s">
        <v>492</v>
      </c>
      <c r="C244" s="45"/>
      <c r="D244" s="42"/>
      <c r="E244" s="252">
        <v>0</v>
      </c>
      <c r="F244" s="29" t="s">
        <v>596</v>
      </c>
      <c r="G244" s="39"/>
      <c r="H244" s="39"/>
      <c r="I244" s="40"/>
      <c r="J244" s="47">
        <v>0</v>
      </c>
      <c r="K244" s="37">
        <v>0</v>
      </c>
      <c r="L244" s="43">
        <v>0</v>
      </c>
      <c r="M244" s="43">
        <v>0</v>
      </c>
      <c r="N244" s="49">
        <v>0</v>
      </c>
      <c r="O244" s="137">
        <v>0</v>
      </c>
      <c r="P244" s="137" t="s">
        <v>492</v>
      </c>
      <c r="Q244" s="182" t="s">
        <v>492</v>
      </c>
      <c r="R244" s="5">
        <v>0</v>
      </c>
      <c r="S244" s="149">
        <v>0</v>
      </c>
      <c r="T244" s="149">
        <v>0</v>
      </c>
      <c r="U244" s="150">
        <v>0</v>
      </c>
      <c r="V244" s="5" t="e">
        <v>#REF!</v>
      </c>
      <c r="W244" s="5" t="e">
        <v>#REF!</v>
      </c>
      <c r="X244" s="5"/>
      <c r="Y244" s="5"/>
      <c r="Z244" s="5"/>
      <c r="AA244" s="5"/>
      <c r="AB244" s="5"/>
      <c r="AC244" s="5"/>
      <c r="AD244" s="5"/>
      <c r="AE244" s="5"/>
      <c r="AF244" s="5"/>
      <c r="AG244" s="5"/>
      <c r="AH244" s="5"/>
      <c r="AI244" s="5"/>
      <c r="AJ244" s="5"/>
      <c r="AK244" s="5"/>
    </row>
    <row r="245" spans="1:37" ht="15" customHeight="1">
      <c r="A245" s="70" t="s">
        <v>492</v>
      </c>
      <c r="B245" s="70" t="s">
        <v>492</v>
      </c>
      <c r="C245" s="45"/>
      <c r="D245" s="42"/>
      <c r="E245" s="252">
        <v>0</v>
      </c>
      <c r="F245" s="29" t="s">
        <v>596</v>
      </c>
      <c r="G245" s="39"/>
      <c r="H245" s="39"/>
      <c r="I245" s="40"/>
      <c r="J245" s="47">
        <v>0</v>
      </c>
      <c r="K245" s="37">
        <v>0</v>
      </c>
      <c r="L245" s="43">
        <v>0</v>
      </c>
      <c r="M245" s="43">
        <v>0</v>
      </c>
      <c r="N245" s="49">
        <v>0</v>
      </c>
      <c r="O245" s="137">
        <v>0</v>
      </c>
      <c r="P245" s="137" t="s">
        <v>492</v>
      </c>
      <c r="Q245" s="182" t="s">
        <v>492</v>
      </c>
      <c r="R245" s="5">
        <v>0</v>
      </c>
      <c r="S245" s="149">
        <v>0</v>
      </c>
      <c r="T245" s="149">
        <v>0</v>
      </c>
      <c r="U245" s="150">
        <v>0</v>
      </c>
      <c r="V245" s="5" t="e">
        <v>#REF!</v>
      </c>
      <c r="W245" s="5" t="e">
        <v>#REF!</v>
      </c>
      <c r="X245" s="5"/>
      <c r="Y245" s="5"/>
      <c r="Z245" s="5"/>
      <c r="AA245" s="5"/>
      <c r="AB245" s="5"/>
      <c r="AC245" s="5"/>
      <c r="AD245" s="5"/>
      <c r="AE245" s="5"/>
      <c r="AF245" s="5"/>
      <c r="AG245" s="5"/>
      <c r="AH245" s="5"/>
      <c r="AI245" s="5"/>
      <c r="AJ245" s="5"/>
      <c r="AK245" s="5"/>
    </row>
    <row r="246" spans="1:37" ht="15" customHeight="1">
      <c r="A246" s="70" t="s">
        <v>492</v>
      </c>
      <c r="B246" s="70" t="s">
        <v>492</v>
      </c>
      <c r="C246" s="45"/>
      <c r="D246" s="42"/>
      <c r="E246" s="252">
        <v>0</v>
      </c>
      <c r="F246" s="29" t="s">
        <v>596</v>
      </c>
      <c r="G246" s="39"/>
      <c r="H246" s="39"/>
      <c r="I246" s="40"/>
      <c r="J246" s="47">
        <v>0</v>
      </c>
      <c r="K246" s="37">
        <v>0</v>
      </c>
      <c r="L246" s="43">
        <v>0</v>
      </c>
      <c r="M246" s="43">
        <v>0</v>
      </c>
      <c r="N246" s="49">
        <v>0</v>
      </c>
      <c r="O246" s="137">
        <v>0</v>
      </c>
      <c r="P246" s="137" t="s">
        <v>492</v>
      </c>
      <c r="Q246" s="182" t="s">
        <v>492</v>
      </c>
      <c r="R246" s="5">
        <v>0</v>
      </c>
      <c r="S246" s="149">
        <v>0</v>
      </c>
      <c r="T246" s="149">
        <v>0</v>
      </c>
      <c r="U246" s="150">
        <v>0</v>
      </c>
      <c r="V246" s="5" t="e">
        <v>#REF!</v>
      </c>
      <c r="W246" s="5" t="e">
        <v>#REF!</v>
      </c>
      <c r="X246" s="5"/>
      <c r="Y246" s="5"/>
      <c r="Z246" s="5"/>
      <c r="AA246" s="5"/>
      <c r="AB246" s="5"/>
      <c r="AC246" s="5"/>
      <c r="AD246" s="5"/>
      <c r="AE246" s="5"/>
      <c r="AF246" s="5"/>
      <c r="AG246" s="5"/>
      <c r="AH246" s="5"/>
      <c r="AI246" s="5"/>
      <c r="AJ246" s="5"/>
      <c r="AK246" s="5"/>
    </row>
    <row r="247" spans="1:37" ht="15" customHeight="1">
      <c r="A247" s="70" t="s">
        <v>492</v>
      </c>
      <c r="B247" s="70" t="s">
        <v>492</v>
      </c>
      <c r="C247" s="45"/>
      <c r="D247" s="42"/>
      <c r="E247" s="252">
        <v>0</v>
      </c>
      <c r="F247" s="29" t="s">
        <v>596</v>
      </c>
      <c r="G247" s="39"/>
      <c r="H247" s="39"/>
      <c r="I247" s="255"/>
      <c r="J247" s="47">
        <v>0</v>
      </c>
      <c r="K247" s="37">
        <v>0</v>
      </c>
      <c r="L247" s="43">
        <v>0</v>
      </c>
      <c r="M247" s="43">
        <v>0</v>
      </c>
      <c r="N247" s="49">
        <v>0</v>
      </c>
      <c r="O247" s="137">
        <v>0</v>
      </c>
      <c r="P247" s="137" t="s">
        <v>492</v>
      </c>
      <c r="Q247" s="182" t="s">
        <v>492</v>
      </c>
      <c r="R247" s="5">
        <v>0</v>
      </c>
      <c r="S247" s="149">
        <v>0</v>
      </c>
      <c r="T247" s="149">
        <v>0</v>
      </c>
      <c r="U247" s="150">
        <v>0</v>
      </c>
      <c r="V247" s="5" t="e">
        <v>#REF!</v>
      </c>
      <c r="W247" s="5" t="e">
        <v>#REF!</v>
      </c>
      <c r="X247" s="5"/>
      <c r="Y247" s="5"/>
      <c r="Z247" s="5"/>
      <c r="AA247" s="5"/>
      <c r="AB247" s="5"/>
      <c r="AC247" s="5"/>
      <c r="AD247" s="5"/>
      <c r="AE247" s="5"/>
      <c r="AF247" s="5"/>
      <c r="AG247" s="5"/>
      <c r="AH247" s="5"/>
      <c r="AI247" s="5"/>
      <c r="AJ247" s="5"/>
      <c r="AK247" s="5"/>
    </row>
    <row r="248" spans="1:37" ht="15" customHeight="1">
      <c r="A248" s="70" t="s">
        <v>492</v>
      </c>
      <c r="B248" s="70" t="s">
        <v>492</v>
      </c>
      <c r="C248" s="45"/>
      <c r="D248" s="42"/>
      <c r="E248" s="252">
        <v>0</v>
      </c>
      <c r="F248" s="29" t="s">
        <v>596</v>
      </c>
      <c r="G248" s="39"/>
      <c r="H248" s="39"/>
      <c r="I248" s="40"/>
      <c r="J248" s="47">
        <v>0</v>
      </c>
      <c r="K248" s="37">
        <v>0</v>
      </c>
      <c r="L248" s="43">
        <v>0</v>
      </c>
      <c r="M248" s="43">
        <v>0</v>
      </c>
      <c r="N248" s="49">
        <v>0</v>
      </c>
      <c r="O248" s="137">
        <v>0</v>
      </c>
      <c r="P248" s="137" t="s">
        <v>492</v>
      </c>
      <c r="Q248" s="182" t="s">
        <v>492</v>
      </c>
      <c r="R248" s="5">
        <v>0</v>
      </c>
      <c r="S248" s="149">
        <v>0</v>
      </c>
      <c r="T248" s="149">
        <v>0</v>
      </c>
      <c r="U248" s="150">
        <v>0</v>
      </c>
      <c r="V248" s="5" t="e">
        <v>#REF!</v>
      </c>
      <c r="W248" s="5" t="e">
        <v>#REF!</v>
      </c>
      <c r="X248" s="5"/>
      <c r="Y248" s="5"/>
      <c r="Z248" s="5"/>
      <c r="AA248" s="5"/>
      <c r="AB248" s="5"/>
      <c r="AC248" s="5"/>
      <c r="AD248" s="5"/>
      <c r="AE248" s="5"/>
      <c r="AF248" s="5"/>
      <c r="AG248" s="5"/>
      <c r="AH248" s="5"/>
      <c r="AI248" s="5"/>
      <c r="AJ248" s="5"/>
      <c r="AK248" s="5"/>
    </row>
    <row r="249" spans="1:37" ht="15" customHeight="1">
      <c r="A249" s="70" t="s">
        <v>492</v>
      </c>
      <c r="B249" s="70" t="s">
        <v>492</v>
      </c>
      <c r="C249" s="45"/>
      <c r="D249" s="42"/>
      <c r="E249" s="252">
        <v>0</v>
      </c>
      <c r="F249" s="29" t="s">
        <v>596</v>
      </c>
      <c r="G249" s="39"/>
      <c r="H249" s="39"/>
      <c r="I249" s="255"/>
      <c r="J249" s="47">
        <v>0</v>
      </c>
      <c r="K249" s="37">
        <v>0</v>
      </c>
      <c r="L249" s="43">
        <v>0</v>
      </c>
      <c r="M249" s="43">
        <v>0</v>
      </c>
      <c r="N249" s="49">
        <v>0</v>
      </c>
      <c r="O249" s="137">
        <v>0</v>
      </c>
      <c r="P249" s="137" t="s">
        <v>492</v>
      </c>
      <c r="Q249" s="182" t="s">
        <v>492</v>
      </c>
      <c r="R249" s="5">
        <v>0</v>
      </c>
      <c r="S249" s="149">
        <v>0</v>
      </c>
      <c r="T249" s="149">
        <v>0</v>
      </c>
      <c r="U249" s="150">
        <v>0</v>
      </c>
      <c r="V249" s="5" t="e">
        <v>#REF!</v>
      </c>
      <c r="W249" s="5" t="e">
        <v>#REF!</v>
      </c>
      <c r="X249" s="5"/>
      <c r="Y249" s="5"/>
      <c r="Z249" s="5"/>
      <c r="AA249" s="5"/>
      <c r="AB249" s="5"/>
      <c r="AC249" s="5"/>
      <c r="AD249" s="5"/>
      <c r="AE249" s="5"/>
      <c r="AF249" s="5"/>
      <c r="AG249" s="5"/>
      <c r="AH249" s="5"/>
      <c r="AI249" s="5"/>
      <c r="AJ249" s="5"/>
      <c r="AK249" s="5"/>
    </row>
    <row r="250" spans="1:37" ht="15" customHeight="1">
      <c r="A250" s="70" t="s">
        <v>492</v>
      </c>
      <c r="B250" s="70" t="s">
        <v>492</v>
      </c>
      <c r="C250" s="45"/>
      <c r="D250" s="42"/>
      <c r="E250" s="252">
        <v>0</v>
      </c>
      <c r="F250" s="29" t="s">
        <v>596</v>
      </c>
      <c r="G250" s="39"/>
      <c r="H250" s="39"/>
      <c r="I250" s="40"/>
      <c r="J250" s="47">
        <v>0</v>
      </c>
      <c r="K250" s="37">
        <v>0</v>
      </c>
      <c r="L250" s="43">
        <v>0</v>
      </c>
      <c r="M250" s="43">
        <v>0</v>
      </c>
      <c r="N250" s="49">
        <v>0</v>
      </c>
      <c r="O250" s="137">
        <v>0</v>
      </c>
      <c r="P250" s="137" t="s">
        <v>492</v>
      </c>
      <c r="Q250" s="182" t="s">
        <v>492</v>
      </c>
      <c r="R250" s="5">
        <v>0</v>
      </c>
      <c r="S250" s="149">
        <v>0</v>
      </c>
      <c r="T250" s="149">
        <v>0</v>
      </c>
      <c r="U250" s="150">
        <v>0</v>
      </c>
      <c r="V250" s="5" t="e">
        <v>#REF!</v>
      </c>
      <c r="W250" s="5" t="e">
        <v>#REF!</v>
      </c>
      <c r="X250" s="5"/>
      <c r="Y250" s="5"/>
      <c r="Z250" s="5"/>
      <c r="AA250" s="5"/>
      <c r="AB250" s="5"/>
      <c r="AC250" s="5"/>
      <c r="AD250" s="5"/>
      <c r="AE250" s="5"/>
      <c r="AF250" s="5"/>
      <c r="AG250" s="5"/>
      <c r="AH250" s="5"/>
      <c r="AI250" s="5"/>
      <c r="AJ250" s="5"/>
      <c r="AK250" s="5"/>
    </row>
    <row r="251" spans="1:37" ht="15" customHeight="1">
      <c r="A251" s="70" t="s">
        <v>492</v>
      </c>
      <c r="B251" s="70" t="s">
        <v>492</v>
      </c>
      <c r="C251" s="45"/>
      <c r="D251" s="42"/>
      <c r="E251" s="252">
        <v>0</v>
      </c>
      <c r="F251" s="29" t="s">
        <v>596</v>
      </c>
      <c r="G251" s="39"/>
      <c r="H251" s="39"/>
      <c r="I251" s="255"/>
      <c r="J251" s="47">
        <v>0</v>
      </c>
      <c r="K251" s="37">
        <v>0</v>
      </c>
      <c r="L251" s="43">
        <v>0</v>
      </c>
      <c r="M251" s="43">
        <v>0</v>
      </c>
      <c r="N251" s="49">
        <v>0</v>
      </c>
      <c r="O251" s="137">
        <v>0</v>
      </c>
      <c r="P251" s="137" t="s">
        <v>492</v>
      </c>
      <c r="Q251" s="182" t="s">
        <v>492</v>
      </c>
      <c r="R251" s="5">
        <v>0</v>
      </c>
      <c r="S251" s="149">
        <v>0</v>
      </c>
      <c r="T251" s="149">
        <v>0</v>
      </c>
      <c r="U251" s="150">
        <v>0</v>
      </c>
      <c r="V251" s="5" t="e">
        <v>#REF!</v>
      </c>
      <c r="W251" s="5" t="e">
        <v>#REF!</v>
      </c>
      <c r="X251" s="5"/>
      <c r="Y251" s="5"/>
      <c r="Z251" s="5"/>
      <c r="AA251" s="5"/>
      <c r="AB251" s="5"/>
      <c r="AC251" s="5"/>
      <c r="AD251" s="5"/>
      <c r="AE251" s="5"/>
      <c r="AF251" s="5"/>
      <c r="AG251" s="5"/>
      <c r="AH251" s="5"/>
      <c r="AI251" s="5"/>
      <c r="AJ251" s="5"/>
      <c r="AK251" s="5"/>
    </row>
    <row r="252" spans="1:37" ht="15" customHeight="1">
      <c r="A252" s="70" t="s">
        <v>492</v>
      </c>
      <c r="B252" s="70" t="s">
        <v>492</v>
      </c>
      <c r="C252" s="45"/>
      <c r="D252" s="42"/>
      <c r="E252" s="252">
        <v>0</v>
      </c>
      <c r="F252" s="29" t="s">
        <v>596</v>
      </c>
      <c r="G252" s="39"/>
      <c r="H252" s="39"/>
      <c r="I252" s="40"/>
      <c r="J252" s="47">
        <v>0</v>
      </c>
      <c r="K252" s="37">
        <v>0</v>
      </c>
      <c r="L252" s="43">
        <v>0</v>
      </c>
      <c r="M252" s="43">
        <v>0</v>
      </c>
      <c r="N252" s="49">
        <v>0</v>
      </c>
      <c r="O252" s="137">
        <v>0</v>
      </c>
      <c r="P252" s="137" t="s">
        <v>492</v>
      </c>
      <c r="Q252" s="182" t="s">
        <v>492</v>
      </c>
      <c r="R252" s="5">
        <v>0</v>
      </c>
      <c r="S252" s="149">
        <v>0</v>
      </c>
      <c r="T252" s="149">
        <v>0</v>
      </c>
      <c r="U252" s="150">
        <v>0</v>
      </c>
      <c r="V252" s="150" t="e">
        <v>#REF!</v>
      </c>
      <c r="W252" s="5" t="e">
        <v>#REF!</v>
      </c>
      <c r="X252" s="5"/>
      <c r="Y252" s="5"/>
      <c r="Z252" s="5"/>
      <c r="AA252" s="5"/>
      <c r="AB252" s="5"/>
      <c r="AC252" s="5"/>
      <c r="AD252" s="5"/>
      <c r="AE252" s="5"/>
      <c r="AF252" s="5"/>
      <c r="AG252" s="5"/>
      <c r="AH252" s="5"/>
      <c r="AI252" s="5"/>
      <c r="AJ252" s="5"/>
      <c r="AK252" s="5"/>
    </row>
    <row r="253" spans="1:37" ht="15" customHeight="1">
      <c r="A253" s="70" t="s">
        <v>492</v>
      </c>
      <c r="B253" s="70" t="s">
        <v>492</v>
      </c>
      <c r="C253" s="45"/>
      <c r="D253" s="42"/>
      <c r="E253" s="252">
        <v>0</v>
      </c>
      <c r="F253" s="29" t="s">
        <v>596</v>
      </c>
      <c r="G253" s="39"/>
      <c r="H253" s="39"/>
      <c r="I253" s="40"/>
      <c r="J253" s="47">
        <v>0</v>
      </c>
      <c r="K253" s="37">
        <v>0</v>
      </c>
      <c r="L253" s="43">
        <v>0</v>
      </c>
      <c r="M253" s="43">
        <v>0</v>
      </c>
      <c r="N253" s="49">
        <v>0</v>
      </c>
      <c r="O253" s="137">
        <v>0</v>
      </c>
      <c r="P253" s="137" t="s">
        <v>492</v>
      </c>
      <c r="Q253" s="182" t="s">
        <v>492</v>
      </c>
      <c r="R253" s="5">
        <v>0</v>
      </c>
      <c r="S253" s="149">
        <v>0</v>
      </c>
      <c r="T253" s="149">
        <v>0</v>
      </c>
      <c r="U253" s="150">
        <v>0</v>
      </c>
      <c r="V253" s="5" t="e">
        <v>#REF!</v>
      </c>
      <c r="W253" s="5" t="e">
        <v>#REF!</v>
      </c>
      <c r="X253" s="5"/>
      <c r="Y253" s="5"/>
      <c r="Z253" s="5"/>
      <c r="AA253" s="5"/>
      <c r="AB253" s="5"/>
      <c r="AC253" s="5"/>
      <c r="AD253" s="5"/>
      <c r="AE253" s="5"/>
      <c r="AF253" s="5"/>
      <c r="AG253" s="5"/>
      <c r="AH253" s="5"/>
      <c r="AI253" s="5"/>
      <c r="AJ253" s="5"/>
      <c r="AK253" s="5"/>
    </row>
    <row r="254" spans="1:37" ht="15" customHeight="1">
      <c r="A254" s="58" t="s">
        <v>492</v>
      </c>
      <c r="B254" s="58" t="s">
        <v>492</v>
      </c>
      <c r="C254" s="45"/>
      <c r="D254" s="42"/>
      <c r="E254" s="252">
        <v>0</v>
      </c>
      <c r="F254" s="29" t="s">
        <v>596</v>
      </c>
      <c r="G254" s="39"/>
      <c r="H254" s="39"/>
      <c r="I254" s="40"/>
      <c r="J254" s="47">
        <v>0</v>
      </c>
      <c r="K254" s="37">
        <v>0</v>
      </c>
      <c r="L254" s="43">
        <v>0</v>
      </c>
      <c r="M254" s="43">
        <v>0</v>
      </c>
      <c r="N254" s="49">
        <v>0</v>
      </c>
      <c r="O254" s="137">
        <v>0</v>
      </c>
      <c r="P254" s="137" t="s">
        <v>492</v>
      </c>
      <c r="Q254" s="182" t="s">
        <v>492</v>
      </c>
      <c r="R254" s="5">
        <v>0</v>
      </c>
      <c r="S254" s="149">
        <v>0</v>
      </c>
      <c r="T254" s="149">
        <v>0</v>
      </c>
      <c r="U254" s="150">
        <v>0</v>
      </c>
      <c r="V254" s="5" t="e">
        <v>#REF!</v>
      </c>
      <c r="W254" s="5" t="e">
        <v>#REF!</v>
      </c>
      <c r="X254" s="5"/>
      <c r="Y254" s="5"/>
      <c r="Z254" s="5"/>
      <c r="AA254" s="5"/>
      <c r="AB254" s="5"/>
      <c r="AC254" s="5"/>
      <c r="AD254" s="5"/>
      <c r="AE254" s="5"/>
      <c r="AF254" s="5"/>
      <c r="AG254" s="5"/>
      <c r="AH254" s="5"/>
      <c r="AI254" s="5"/>
      <c r="AJ254" s="5"/>
      <c r="AK254" s="5"/>
    </row>
    <row r="255" spans="1:37" ht="15" customHeight="1">
      <c r="A255" s="70" t="s">
        <v>492</v>
      </c>
      <c r="B255" s="70" t="s">
        <v>492</v>
      </c>
      <c r="C255" s="45"/>
      <c r="D255" s="42"/>
      <c r="E255" s="252">
        <v>0</v>
      </c>
      <c r="F255" s="29" t="s">
        <v>596</v>
      </c>
      <c r="G255" s="39"/>
      <c r="H255" s="39"/>
      <c r="I255" s="40"/>
      <c r="J255" s="47">
        <v>0</v>
      </c>
      <c r="K255" s="37">
        <v>0</v>
      </c>
      <c r="L255" s="43">
        <v>0</v>
      </c>
      <c r="M255" s="43">
        <v>0</v>
      </c>
      <c r="N255" s="49">
        <v>0</v>
      </c>
      <c r="O255" s="137">
        <v>0</v>
      </c>
      <c r="P255" s="137" t="s">
        <v>492</v>
      </c>
      <c r="Q255" s="182" t="s">
        <v>492</v>
      </c>
      <c r="R255" s="5">
        <v>0</v>
      </c>
      <c r="S255" s="149">
        <v>0</v>
      </c>
      <c r="T255" s="149">
        <v>0</v>
      </c>
      <c r="U255" s="150">
        <v>0</v>
      </c>
      <c r="V255" s="5" t="e">
        <v>#REF!</v>
      </c>
      <c r="W255" s="5" t="e">
        <v>#REF!</v>
      </c>
      <c r="X255" s="5"/>
      <c r="Y255" s="5"/>
      <c r="Z255" s="5"/>
      <c r="AA255" s="5"/>
      <c r="AB255" s="5"/>
      <c r="AC255" s="5"/>
      <c r="AD255" s="5"/>
      <c r="AE255" s="5"/>
      <c r="AF255" s="5"/>
      <c r="AG255" s="5"/>
      <c r="AH255" s="5"/>
      <c r="AI255" s="5"/>
      <c r="AJ255" s="5"/>
      <c r="AK255" s="5"/>
    </row>
    <row r="256" spans="1:37" ht="15" customHeight="1">
      <c r="A256" s="70" t="s">
        <v>492</v>
      </c>
      <c r="B256" s="70" t="s">
        <v>492</v>
      </c>
      <c r="C256" s="45"/>
      <c r="D256" s="42"/>
      <c r="E256" s="252">
        <v>0</v>
      </c>
      <c r="F256" s="29" t="s">
        <v>596</v>
      </c>
      <c r="G256" s="39"/>
      <c r="H256" s="39"/>
      <c r="I256" s="40"/>
      <c r="J256" s="47">
        <v>0</v>
      </c>
      <c r="K256" s="37">
        <v>0</v>
      </c>
      <c r="L256" s="43">
        <v>0</v>
      </c>
      <c r="M256" s="43">
        <v>0</v>
      </c>
      <c r="N256" s="49">
        <v>0</v>
      </c>
      <c r="O256" s="137">
        <v>0</v>
      </c>
      <c r="P256" s="137" t="s">
        <v>492</v>
      </c>
      <c r="Q256" s="182" t="s">
        <v>492</v>
      </c>
      <c r="R256" s="5">
        <v>0</v>
      </c>
      <c r="S256" s="149">
        <v>0</v>
      </c>
      <c r="T256" s="149">
        <v>0</v>
      </c>
      <c r="U256" s="150">
        <v>0</v>
      </c>
      <c r="V256" s="5" t="e">
        <v>#REF!</v>
      </c>
      <c r="W256" s="5" t="e">
        <v>#REF!</v>
      </c>
      <c r="X256" s="5"/>
      <c r="Y256" s="5"/>
      <c r="Z256" s="5"/>
      <c r="AA256" s="5"/>
      <c r="AB256" s="5"/>
      <c r="AC256" s="5"/>
      <c r="AD256" s="5"/>
      <c r="AE256" s="5"/>
      <c r="AF256" s="5"/>
      <c r="AG256" s="5"/>
      <c r="AH256" s="5"/>
      <c r="AI256" s="5"/>
      <c r="AJ256" s="5"/>
      <c r="AK256" s="5"/>
    </row>
    <row r="257" spans="1:37" ht="15" customHeight="1">
      <c r="A257" s="70" t="s">
        <v>492</v>
      </c>
      <c r="B257" s="70" t="s">
        <v>492</v>
      </c>
      <c r="C257" s="45"/>
      <c r="D257" s="42"/>
      <c r="E257" s="252">
        <v>0</v>
      </c>
      <c r="F257" s="29" t="s">
        <v>596</v>
      </c>
      <c r="G257" s="39"/>
      <c r="H257" s="39"/>
      <c r="I257" s="40"/>
      <c r="J257" s="47">
        <v>0</v>
      </c>
      <c r="K257" s="37">
        <v>0</v>
      </c>
      <c r="L257" s="43">
        <v>0</v>
      </c>
      <c r="M257" s="43">
        <v>0</v>
      </c>
      <c r="N257" s="49">
        <v>0</v>
      </c>
      <c r="O257" s="137">
        <v>0</v>
      </c>
      <c r="P257" s="137" t="s">
        <v>492</v>
      </c>
      <c r="Q257" s="182" t="s">
        <v>492</v>
      </c>
      <c r="R257" s="5">
        <v>0</v>
      </c>
      <c r="S257" s="149">
        <v>0</v>
      </c>
      <c r="T257" s="149">
        <v>0</v>
      </c>
      <c r="U257" s="150">
        <v>0</v>
      </c>
      <c r="V257" s="5" t="e">
        <v>#REF!</v>
      </c>
      <c r="W257" s="5" t="e">
        <v>#REF!</v>
      </c>
      <c r="X257" s="5"/>
      <c r="Y257" s="5"/>
      <c r="Z257" s="5"/>
      <c r="AA257" s="5"/>
      <c r="AB257" s="5"/>
      <c r="AC257" s="5"/>
      <c r="AD257" s="5"/>
      <c r="AE257" s="5"/>
      <c r="AF257" s="5"/>
      <c r="AG257" s="5"/>
      <c r="AH257" s="5"/>
      <c r="AI257" s="5"/>
      <c r="AJ257" s="5"/>
      <c r="AK257" s="5"/>
    </row>
    <row r="258" spans="1:37" ht="15" customHeight="1">
      <c r="A258" s="70" t="s">
        <v>492</v>
      </c>
      <c r="B258" s="70" t="s">
        <v>492</v>
      </c>
      <c r="C258" s="45"/>
      <c r="D258" s="42"/>
      <c r="E258" s="252">
        <v>0</v>
      </c>
      <c r="F258" s="29" t="s">
        <v>596</v>
      </c>
      <c r="G258" s="39"/>
      <c r="H258" s="39"/>
      <c r="I258" s="40"/>
      <c r="J258" s="47">
        <v>0</v>
      </c>
      <c r="K258" s="37">
        <v>0</v>
      </c>
      <c r="L258" s="43">
        <v>0</v>
      </c>
      <c r="M258" s="43">
        <v>0</v>
      </c>
      <c r="N258" s="49">
        <v>0</v>
      </c>
      <c r="O258" s="137">
        <v>0</v>
      </c>
      <c r="P258" s="137" t="s">
        <v>492</v>
      </c>
      <c r="Q258" s="182" t="s">
        <v>492</v>
      </c>
      <c r="R258" s="5">
        <v>0</v>
      </c>
      <c r="S258" s="149">
        <v>0</v>
      </c>
      <c r="T258" s="149">
        <v>0</v>
      </c>
      <c r="U258" s="150">
        <v>0</v>
      </c>
      <c r="V258" s="5" t="e">
        <v>#REF!</v>
      </c>
      <c r="W258" s="5" t="e">
        <v>#REF!</v>
      </c>
      <c r="X258" s="5"/>
      <c r="Y258" s="5"/>
      <c r="Z258" s="5"/>
      <c r="AA258" s="5"/>
      <c r="AB258" s="5"/>
      <c r="AC258" s="5"/>
      <c r="AD258" s="5"/>
      <c r="AE258" s="5"/>
      <c r="AF258" s="5"/>
      <c r="AG258" s="5"/>
      <c r="AH258" s="5"/>
      <c r="AI258" s="5"/>
      <c r="AJ258" s="5"/>
      <c r="AK258" s="5"/>
    </row>
    <row r="259" spans="1:37" ht="15" customHeight="1">
      <c r="A259" s="70" t="s">
        <v>492</v>
      </c>
      <c r="B259" s="70" t="s">
        <v>492</v>
      </c>
      <c r="C259" s="45"/>
      <c r="D259" s="42"/>
      <c r="E259" s="252">
        <v>0</v>
      </c>
      <c r="F259" s="29" t="s">
        <v>596</v>
      </c>
      <c r="G259" s="39"/>
      <c r="H259" s="39"/>
      <c r="I259" s="40"/>
      <c r="J259" s="47">
        <v>0</v>
      </c>
      <c r="K259" s="37">
        <v>0</v>
      </c>
      <c r="L259" s="43">
        <v>0</v>
      </c>
      <c r="M259" s="43">
        <v>0</v>
      </c>
      <c r="N259" s="49">
        <v>0</v>
      </c>
      <c r="O259" s="137">
        <v>0</v>
      </c>
      <c r="P259" s="137" t="s">
        <v>492</v>
      </c>
      <c r="Q259" s="182" t="s">
        <v>492</v>
      </c>
      <c r="R259" s="5">
        <v>0</v>
      </c>
      <c r="S259" s="149">
        <v>0</v>
      </c>
      <c r="T259" s="149">
        <v>0</v>
      </c>
      <c r="U259" s="150">
        <v>0</v>
      </c>
      <c r="V259" s="5" t="e">
        <v>#REF!</v>
      </c>
      <c r="W259" s="5" t="e">
        <v>#REF!</v>
      </c>
      <c r="X259" s="5"/>
      <c r="Y259" s="5"/>
      <c r="Z259" s="5"/>
      <c r="AA259" s="5"/>
      <c r="AB259" s="5"/>
      <c r="AC259" s="5"/>
      <c r="AD259" s="5"/>
      <c r="AE259" s="5"/>
      <c r="AF259" s="5"/>
      <c r="AG259" s="5"/>
      <c r="AH259" s="5"/>
      <c r="AI259" s="5"/>
      <c r="AJ259" s="5"/>
      <c r="AK259" s="5"/>
    </row>
    <row r="260" spans="1:37" ht="15" customHeight="1">
      <c r="A260" s="58" t="s">
        <v>492</v>
      </c>
      <c r="B260" s="58" t="s">
        <v>492</v>
      </c>
      <c r="C260" s="45"/>
      <c r="D260" s="42"/>
      <c r="E260" s="252">
        <v>0</v>
      </c>
      <c r="F260" s="29" t="s">
        <v>596</v>
      </c>
      <c r="G260" s="39"/>
      <c r="H260" s="39"/>
      <c r="I260" s="40"/>
      <c r="J260" s="47">
        <v>0</v>
      </c>
      <c r="K260" s="37">
        <v>0</v>
      </c>
      <c r="L260" s="43">
        <v>0</v>
      </c>
      <c r="M260" s="43">
        <v>0</v>
      </c>
      <c r="N260" s="49">
        <v>0</v>
      </c>
      <c r="O260" s="137">
        <v>0</v>
      </c>
      <c r="P260" s="137" t="s">
        <v>492</v>
      </c>
      <c r="Q260" s="182" t="s">
        <v>492</v>
      </c>
      <c r="R260" s="5">
        <v>0</v>
      </c>
      <c r="S260" s="149">
        <v>0</v>
      </c>
      <c r="T260" s="149">
        <v>0</v>
      </c>
      <c r="U260" s="150">
        <v>0</v>
      </c>
      <c r="V260" s="5" t="e">
        <v>#REF!</v>
      </c>
      <c r="W260" s="5" t="e">
        <v>#REF!</v>
      </c>
      <c r="X260" s="5"/>
      <c r="Y260" s="5"/>
      <c r="Z260" s="5"/>
      <c r="AA260" s="5"/>
      <c r="AB260" s="5"/>
      <c r="AC260" s="5"/>
      <c r="AD260" s="5"/>
      <c r="AE260" s="5"/>
      <c r="AF260" s="5"/>
      <c r="AG260" s="5"/>
      <c r="AH260" s="5"/>
      <c r="AI260" s="5"/>
      <c r="AJ260" s="5"/>
      <c r="AK260" s="5"/>
    </row>
    <row r="261" spans="1:37" ht="15" customHeight="1">
      <c r="A261" s="70" t="s">
        <v>492</v>
      </c>
      <c r="B261" s="70" t="s">
        <v>492</v>
      </c>
      <c r="C261" s="45"/>
      <c r="D261" s="42"/>
      <c r="E261" s="252">
        <v>0</v>
      </c>
      <c r="F261" s="29" t="s">
        <v>596</v>
      </c>
      <c r="G261" s="39"/>
      <c r="H261" s="39"/>
      <c r="I261" s="40"/>
      <c r="J261" s="47">
        <v>0</v>
      </c>
      <c r="K261" s="37">
        <v>0</v>
      </c>
      <c r="L261" s="43">
        <v>0</v>
      </c>
      <c r="M261" s="43">
        <v>0</v>
      </c>
      <c r="N261" s="49">
        <v>0</v>
      </c>
      <c r="O261" s="137">
        <v>0</v>
      </c>
      <c r="P261" s="137" t="s">
        <v>492</v>
      </c>
      <c r="Q261" s="182" t="s">
        <v>492</v>
      </c>
      <c r="R261" s="5">
        <v>0</v>
      </c>
      <c r="S261" s="149">
        <v>0</v>
      </c>
      <c r="T261" s="149">
        <v>0</v>
      </c>
      <c r="U261" s="150">
        <v>0</v>
      </c>
      <c r="V261" s="5" t="e">
        <v>#REF!</v>
      </c>
      <c r="W261" s="5" t="e">
        <v>#REF!</v>
      </c>
      <c r="X261" s="5"/>
      <c r="Y261" s="5"/>
      <c r="Z261" s="5"/>
      <c r="AA261" s="5"/>
      <c r="AB261" s="5"/>
      <c r="AC261" s="5"/>
      <c r="AD261" s="5"/>
      <c r="AE261" s="5"/>
      <c r="AF261" s="5"/>
      <c r="AG261" s="5"/>
      <c r="AH261" s="5"/>
      <c r="AI261" s="5"/>
      <c r="AJ261" s="5"/>
      <c r="AK261" s="5"/>
    </row>
    <row r="262" spans="1:37" ht="15" customHeight="1">
      <c r="A262" s="70" t="s">
        <v>492</v>
      </c>
      <c r="B262" s="70" t="s">
        <v>492</v>
      </c>
      <c r="C262" s="45"/>
      <c r="D262" s="42"/>
      <c r="E262" s="252">
        <v>0</v>
      </c>
      <c r="F262" s="29" t="s">
        <v>596</v>
      </c>
      <c r="G262" s="39"/>
      <c r="H262" s="39"/>
      <c r="I262" s="40"/>
      <c r="J262" s="47">
        <v>0</v>
      </c>
      <c r="K262" s="37">
        <v>0</v>
      </c>
      <c r="L262" s="43">
        <v>0</v>
      </c>
      <c r="M262" s="43">
        <v>0</v>
      </c>
      <c r="N262" s="49">
        <v>0</v>
      </c>
      <c r="O262" s="137">
        <v>0</v>
      </c>
      <c r="P262" s="137" t="s">
        <v>492</v>
      </c>
      <c r="Q262" s="182" t="s">
        <v>492</v>
      </c>
      <c r="R262" s="5">
        <v>0</v>
      </c>
      <c r="S262" s="149">
        <v>0</v>
      </c>
      <c r="T262" s="149">
        <v>0</v>
      </c>
      <c r="U262" s="150">
        <v>0</v>
      </c>
      <c r="V262" s="5" t="e">
        <v>#REF!</v>
      </c>
      <c r="W262" s="5" t="e">
        <v>#REF!</v>
      </c>
      <c r="X262" s="5"/>
      <c r="Y262" s="5"/>
      <c r="Z262" s="5"/>
      <c r="AA262" s="5"/>
      <c r="AB262" s="5"/>
      <c r="AC262" s="5"/>
      <c r="AD262" s="5"/>
      <c r="AE262" s="5"/>
      <c r="AF262" s="5"/>
      <c r="AG262" s="5"/>
      <c r="AH262" s="5"/>
      <c r="AI262" s="5"/>
      <c r="AJ262" s="5"/>
      <c r="AK262" s="5"/>
    </row>
    <row r="263" spans="1:37" ht="15" customHeight="1">
      <c r="A263" s="70" t="s">
        <v>492</v>
      </c>
      <c r="B263" s="70" t="s">
        <v>492</v>
      </c>
      <c r="C263" s="45"/>
      <c r="D263" s="42"/>
      <c r="E263" s="252">
        <v>0</v>
      </c>
      <c r="F263" s="29" t="s">
        <v>596</v>
      </c>
      <c r="G263" s="39"/>
      <c r="H263" s="39"/>
      <c r="I263" s="40"/>
      <c r="J263" s="47">
        <v>0</v>
      </c>
      <c r="K263" s="37">
        <v>0</v>
      </c>
      <c r="L263" s="43">
        <v>0</v>
      </c>
      <c r="M263" s="43">
        <v>0</v>
      </c>
      <c r="N263" s="49">
        <v>0</v>
      </c>
      <c r="O263" s="137">
        <v>0</v>
      </c>
      <c r="P263" s="137" t="s">
        <v>492</v>
      </c>
      <c r="Q263" s="182" t="s">
        <v>492</v>
      </c>
      <c r="R263" s="5">
        <v>0</v>
      </c>
      <c r="S263" s="149">
        <v>0</v>
      </c>
      <c r="T263" s="149">
        <v>0</v>
      </c>
      <c r="U263" s="150">
        <v>0</v>
      </c>
      <c r="V263" s="5" t="e">
        <v>#REF!</v>
      </c>
      <c r="W263" s="5" t="e">
        <v>#REF!</v>
      </c>
      <c r="X263" s="5"/>
      <c r="Y263" s="5"/>
      <c r="Z263" s="5"/>
      <c r="AA263" s="5"/>
      <c r="AB263" s="5"/>
      <c r="AC263" s="5"/>
      <c r="AD263" s="5"/>
      <c r="AE263" s="5"/>
      <c r="AF263" s="5"/>
      <c r="AG263" s="5"/>
      <c r="AH263" s="5"/>
      <c r="AI263" s="5"/>
      <c r="AJ263" s="5"/>
      <c r="AK263" s="5"/>
    </row>
    <row r="264" spans="1:37" ht="15" customHeight="1">
      <c r="A264" s="70" t="s">
        <v>492</v>
      </c>
      <c r="B264" s="70" t="s">
        <v>492</v>
      </c>
      <c r="C264" s="45"/>
      <c r="D264" s="42"/>
      <c r="E264" s="252">
        <v>0</v>
      </c>
      <c r="F264" s="29" t="s">
        <v>596</v>
      </c>
      <c r="G264" s="39"/>
      <c r="H264" s="39"/>
      <c r="I264" s="40"/>
      <c r="J264" s="47">
        <v>0</v>
      </c>
      <c r="K264" s="37">
        <v>0</v>
      </c>
      <c r="L264" s="43">
        <v>0</v>
      </c>
      <c r="M264" s="43">
        <v>0</v>
      </c>
      <c r="N264" s="49">
        <v>0</v>
      </c>
      <c r="O264" s="137">
        <v>0</v>
      </c>
      <c r="P264" s="137" t="s">
        <v>492</v>
      </c>
      <c r="Q264" s="182" t="s">
        <v>492</v>
      </c>
      <c r="R264" s="5">
        <v>0</v>
      </c>
      <c r="S264" s="149">
        <v>0</v>
      </c>
      <c r="T264" s="149">
        <v>0</v>
      </c>
      <c r="U264" s="150">
        <v>0</v>
      </c>
      <c r="V264" s="5" t="e">
        <v>#REF!</v>
      </c>
      <c r="W264" s="5" t="e">
        <v>#REF!</v>
      </c>
      <c r="X264" s="5"/>
      <c r="Y264" s="5"/>
      <c r="Z264" s="5"/>
      <c r="AA264" s="5"/>
      <c r="AB264" s="5"/>
      <c r="AC264" s="5"/>
      <c r="AD264" s="5"/>
      <c r="AE264" s="5"/>
      <c r="AF264" s="5"/>
      <c r="AG264" s="5"/>
      <c r="AH264" s="5"/>
      <c r="AI264" s="5"/>
      <c r="AJ264" s="5"/>
      <c r="AK264" s="5"/>
    </row>
    <row r="265" spans="1:37" ht="15" customHeight="1">
      <c r="A265" s="70" t="s">
        <v>492</v>
      </c>
      <c r="B265" s="70" t="s">
        <v>492</v>
      </c>
      <c r="C265" s="45"/>
      <c r="D265" s="42"/>
      <c r="E265" s="252">
        <v>0</v>
      </c>
      <c r="F265" s="29" t="s">
        <v>596</v>
      </c>
      <c r="G265" s="39"/>
      <c r="H265" s="39"/>
      <c r="I265" s="40"/>
      <c r="J265" s="47">
        <v>0</v>
      </c>
      <c r="K265" s="37">
        <v>0</v>
      </c>
      <c r="L265" s="43">
        <v>0</v>
      </c>
      <c r="M265" s="43">
        <v>0</v>
      </c>
      <c r="N265" s="49">
        <v>0</v>
      </c>
      <c r="O265" s="137">
        <v>0</v>
      </c>
      <c r="P265" s="137" t="s">
        <v>492</v>
      </c>
      <c r="Q265" s="182" t="s">
        <v>492</v>
      </c>
      <c r="R265" s="5">
        <v>0</v>
      </c>
      <c r="S265" s="149">
        <v>0</v>
      </c>
      <c r="T265" s="149">
        <v>0</v>
      </c>
      <c r="U265" s="150">
        <v>0</v>
      </c>
      <c r="V265" s="5" t="e">
        <v>#REF!</v>
      </c>
      <c r="W265" s="5" t="e">
        <v>#REF!</v>
      </c>
      <c r="X265" s="5"/>
      <c r="Y265" s="5"/>
      <c r="Z265" s="5"/>
      <c r="AA265" s="5"/>
      <c r="AB265" s="5"/>
      <c r="AC265" s="5"/>
      <c r="AD265" s="5"/>
      <c r="AE265" s="5"/>
      <c r="AF265" s="5"/>
      <c r="AG265" s="5"/>
      <c r="AH265" s="5"/>
      <c r="AI265" s="5"/>
      <c r="AJ265" s="5"/>
      <c r="AK265" s="5"/>
    </row>
    <row r="266" spans="1:37" ht="15" customHeight="1">
      <c r="A266" s="70" t="s">
        <v>492</v>
      </c>
      <c r="B266" s="70" t="s">
        <v>492</v>
      </c>
      <c r="C266" s="45"/>
      <c r="D266" s="42"/>
      <c r="E266" s="252">
        <v>0</v>
      </c>
      <c r="F266" s="29" t="s">
        <v>596</v>
      </c>
      <c r="G266" s="39"/>
      <c r="H266" s="39"/>
      <c r="I266" s="40"/>
      <c r="J266" s="47">
        <v>0</v>
      </c>
      <c r="K266" s="37">
        <v>0</v>
      </c>
      <c r="L266" s="43">
        <v>0</v>
      </c>
      <c r="M266" s="43">
        <v>0</v>
      </c>
      <c r="N266" s="49">
        <v>0</v>
      </c>
      <c r="O266" s="137">
        <v>0</v>
      </c>
      <c r="P266" s="137" t="s">
        <v>492</v>
      </c>
      <c r="Q266" s="182" t="s">
        <v>492</v>
      </c>
      <c r="R266" s="5">
        <v>0</v>
      </c>
      <c r="S266" s="149">
        <v>0</v>
      </c>
      <c r="T266" s="149">
        <v>0</v>
      </c>
      <c r="U266" s="150">
        <v>0</v>
      </c>
      <c r="V266" s="5" t="e">
        <v>#REF!</v>
      </c>
      <c r="W266" s="5" t="e">
        <v>#REF!</v>
      </c>
      <c r="X266" s="5"/>
      <c r="Y266" s="5"/>
      <c r="Z266" s="5"/>
      <c r="AA266" s="5"/>
      <c r="AB266" s="5"/>
      <c r="AC266" s="5"/>
      <c r="AD266" s="5"/>
      <c r="AE266" s="5"/>
      <c r="AF266" s="5"/>
      <c r="AG266" s="5"/>
      <c r="AH266" s="5"/>
      <c r="AI266" s="5"/>
      <c r="AJ266" s="5"/>
      <c r="AK266" s="5"/>
    </row>
    <row r="267" spans="1:37" ht="15" customHeight="1">
      <c r="A267" s="70" t="s">
        <v>492</v>
      </c>
      <c r="B267" s="70" t="s">
        <v>492</v>
      </c>
      <c r="C267" s="45"/>
      <c r="D267" s="42"/>
      <c r="E267" s="252">
        <v>0</v>
      </c>
      <c r="F267" s="29" t="s">
        <v>596</v>
      </c>
      <c r="G267" s="39"/>
      <c r="H267" s="39"/>
      <c r="I267" s="40"/>
      <c r="J267" s="47">
        <v>0</v>
      </c>
      <c r="K267" s="37">
        <v>0</v>
      </c>
      <c r="L267" s="43">
        <v>0</v>
      </c>
      <c r="M267" s="43">
        <v>0</v>
      </c>
      <c r="N267" s="49">
        <v>0</v>
      </c>
      <c r="O267" s="137">
        <v>0</v>
      </c>
      <c r="P267" s="137" t="s">
        <v>492</v>
      </c>
      <c r="Q267" s="182" t="s">
        <v>492</v>
      </c>
      <c r="R267" s="5">
        <v>0</v>
      </c>
      <c r="S267" s="149">
        <v>0</v>
      </c>
      <c r="T267" s="149">
        <v>0</v>
      </c>
      <c r="U267" s="150">
        <v>0</v>
      </c>
      <c r="V267" s="5" t="e">
        <v>#REF!</v>
      </c>
      <c r="W267" s="5" t="e">
        <v>#REF!</v>
      </c>
      <c r="X267" s="5"/>
      <c r="Y267" s="5"/>
      <c r="Z267" s="5"/>
      <c r="AA267" s="5"/>
      <c r="AB267" s="5"/>
      <c r="AC267" s="5"/>
      <c r="AD267" s="5"/>
      <c r="AE267" s="5"/>
      <c r="AF267" s="5"/>
      <c r="AG267" s="5"/>
      <c r="AH267" s="5"/>
      <c r="AI267" s="5"/>
      <c r="AJ267" s="5"/>
      <c r="AK267" s="5"/>
    </row>
    <row r="268" spans="1:37" ht="15" customHeight="1">
      <c r="A268" s="70" t="s">
        <v>492</v>
      </c>
      <c r="B268" s="70" t="s">
        <v>492</v>
      </c>
      <c r="C268" s="45"/>
      <c r="D268" s="42"/>
      <c r="E268" s="252">
        <v>0</v>
      </c>
      <c r="F268" s="29" t="s">
        <v>596</v>
      </c>
      <c r="G268" s="39"/>
      <c r="H268" s="39"/>
      <c r="I268" s="40"/>
      <c r="J268" s="47">
        <v>0</v>
      </c>
      <c r="K268" s="37">
        <v>0</v>
      </c>
      <c r="L268" s="43">
        <v>0</v>
      </c>
      <c r="M268" s="43">
        <v>0</v>
      </c>
      <c r="N268" s="49">
        <v>0</v>
      </c>
      <c r="O268" s="137">
        <v>0</v>
      </c>
      <c r="P268" s="137" t="s">
        <v>492</v>
      </c>
      <c r="Q268" s="182" t="s">
        <v>492</v>
      </c>
      <c r="R268" s="5">
        <v>0</v>
      </c>
      <c r="S268" s="149">
        <v>0</v>
      </c>
      <c r="T268" s="149">
        <v>0</v>
      </c>
      <c r="U268" s="150">
        <v>0</v>
      </c>
      <c r="V268" s="5" t="e">
        <v>#REF!</v>
      </c>
      <c r="W268" s="5" t="e">
        <v>#REF!</v>
      </c>
      <c r="X268" s="5"/>
      <c r="Y268" s="5"/>
      <c r="Z268" s="5"/>
      <c r="AA268" s="5"/>
      <c r="AB268" s="5"/>
      <c r="AC268" s="5"/>
      <c r="AD268" s="5"/>
      <c r="AE268" s="5"/>
      <c r="AF268" s="5"/>
      <c r="AG268" s="5"/>
      <c r="AH268" s="5"/>
      <c r="AI268" s="5"/>
      <c r="AJ268" s="5"/>
      <c r="AK268" s="5"/>
    </row>
    <row r="269" spans="1:37" ht="15" customHeight="1">
      <c r="A269" s="70" t="s">
        <v>492</v>
      </c>
      <c r="B269" s="70" t="s">
        <v>492</v>
      </c>
      <c r="C269" s="45"/>
      <c r="D269" s="42"/>
      <c r="E269" s="252">
        <v>0</v>
      </c>
      <c r="F269" s="29" t="s">
        <v>596</v>
      </c>
      <c r="G269" s="39"/>
      <c r="H269" s="39"/>
      <c r="I269" s="40"/>
      <c r="J269" s="47">
        <v>0</v>
      </c>
      <c r="K269" s="37">
        <v>0</v>
      </c>
      <c r="L269" s="43">
        <v>0</v>
      </c>
      <c r="M269" s="43">
        <v>0</v>
      </c>
      <c r="N269" s="49">
        <v>0</v>
      </c>
      <c r="O269" s="137">
        <v>0</v>
      </c>
      <c r="P269" s="137" t="s">
        <v>492</v>
      </c>
      <c r="Q269" s="182" t="s">
        <v>492</v>
      </c>
      <c r="R269" s="5">
        <v>0</v>
      </c>
      <c r="S269" s="149">
        <v>0</v>
      </c>
      <c r="T269" s="149">
        <v>0</v>
      </c>
      <c r="U269" s="150">
        <v>0</v>
      </c>
      <c r="V269" s="5" t="e">
        <v>#REF!</v>
      </c>
      <c r="W269" s="5" t="e">
        <v>#REF!</v>
      </c>
      <c r="X269" s="5"/>
      <c r="Y269" s="5"/>
      <c r="Z269" s="5"/>
      <c r="AA269" s="5"/>
      <c r="AB269" s="5"/>
      <c r="AC269" s="5"/>
      <c r="AD269" s="5"/>
      <c r="AE269" s="5"/>
      <c r="AF269" s="5"/>
      <c r="AG269" s="5"/>
      <c r="AH269" s="5"/>
      <c r="AI269" s="5"/>
      <c r="AJ269" s="5"/>
      <c r="AK269" s="5"/>
    </row>
    <row r="270" spans="1:37" ht="15" customHeight="1">
      <c r="A270" s="70" t="s">
        <v>492</v>
      </c>
      <c r="B270" s="70" t="s">
        <v>492</v>
      </c>
      <c r="C270" s="45"/>
      <c r="D270" s="42"/>
      <c r="E270" s="252">
        <v>0</v>
      </c>
      <c r="F270" s="29" t="s">
        <v>596</v>
      </c>
      <c r="G270" s="39"/>
      <c r="H270" s="39"/>
      <c r="I270" s="40"/>
      <c r="J270" s="47">
        <v>0</v>
      </c>
      <c r="K270" s="37">
        <v>0</v>
      </c>
      <c r="L270" s="43">
        <v>0</v>
      </c>
      <c r="M270" s="43">
        <v>0</v>
      </c>
      <c r="N270" s="49">
        <v>0</v>
      </c>
      <c r="O270" s="137">
        <v>0</v>
      </c>
      <c r="P270" s="137" t="s">
        <v>492</v>
      </c>
      <c r="Q270" s="182" t="s">
        <v>492</v>
      </c>
      <c r="R270" s="5">
        <v>0</v>
      </c>
      <c r="S270" s="149">
        <v>0</v>
      </c>
      <c r="T270" s="149">
        <v>0</v>
      </c>
      <c r="U270" s="150">
        <v>0</v>
      </c>
      <c r="V270" s="5" t="e">
        <v>#REF!</v>
      </c>
      <c r="W270" s="5" t="e">
        <v>#REF!</v>
      </c>
      <c r="X270" s="5"/>
      <c r="Y270" s="5"/>
      <c r="Z270" s="5"/>
      <c r="AA270" s="5"/>
      <c r="AB270" s="5"/>
      <c r="AC270" s="5"/>
      <c r="AD270" s="5"/>
      <c r="AE270" s="5"/>
      <c r="AF270" s="5"/>
      <c r="AG270" s="5"/>
      <c r="AH270" s="5"/>
      <c r="AI270" s="5"/>
      <c r="AJ270" s="5"/>
      <c r="AK270" s="5"/>
    </row>
    <row r="271" spans="1:37" ht="15" customHeight="1">
      <c r="A271" s="70" t="s">
        <v>492</v>
      </c>
      <c r="B271" s="70" t="s">
        <v>492</v>
      </c>
      <c r="C271" s="45"/>
      <c r="D271" s="42"/>
      <c r="E271" s="252">
        <v>0</v>
      </c>
      <c r="F271" s="29" t="s">
        <v>596</v>
      </c>
      <c r="G271" s="39"/>
      <c r="H271" s="39"/>
      <c r="I271" s="40"/>
      <c r="J271" s="47">
        <v>0</v>
      </c>
      <c r="K271" s="37">
        <v>0</v>
      </c>
      <c r="L271" s="43">
        <v>0</v>
      </c>
      <c r="M271" s="43">
        <v>0</v>
      </c>
      <c r="N271" s="49">
        <v>0</v>
      </c>
      <c r="O271" s="137">
        <v>0</v>
      </c>
      <c r="P271" s="137" t="s">
        <v>492</v>
      </c>
      <c r="Q271" s="182" t="s">
        <v>492</v>
      </c>
      <c r="R271" s="5">
        <v>0</v>
      </c>
      <c r="S271" s="149">
        <v>0</v>
      </c>
      <c r="T271" s="149">
        <v>0</v>
      </c>
      <c r="U271" s="150">
        <v>0</v>
      </c>
      <c r="V271" s="5" t="e">
        <v>#REF!</v>
      </c>
      <c r="W271" s="5" t="e">
        <v>#REF!</v>
      </c>
      <c r="X271" s="5"/>
      <c r="Y271" s="5"/>
      <c r="Z271" s="5"/>
      <c r="AA271" s="5"/>
      <c r="AB271" s="5"/>
      <c r="AC271" s="5"/>
      <c r="AD271" s="5"/>
      <c r="AE271" s="5"/>
      <c r="AF271" s="5"/>
      <c r="AG271" s="5"/>
      <c r="AH271" s="5"/>
      <c r="AI271" s="5"/>
      <c r="AJ271" s="5"/>
      <c r="AK271" s="5"/>
    </row>
    <row r="272" spans="1:37" ht="15" customHeight="1">
      <c r="A272" s="70" t="s">
        <v>492</v>
      </c>
      <c r="B272" s="70" t="s">
        <v>492</v>
      </c>
      <c r="C272" s="45"/>
      <c r="D272" s="42"/>
      <c r="E272" s="252">
        <v>0</v>
      </c>
      <c r="F272" s="29" t="s">
        <v>596</v>
      </c>
      <c r="G272" s="39"/>
      <c r="H272" s="39"/>
      <c r="I272" s="40"/>
      <c r="J272" s="47">
        <v>0</v>
      </c>
      <c r="K272" s="37">
        <v>0</v>
      </c>
      <c r="L272" s="43">
        <v>0</v>
      </c>
      <c r="M272" s="43">
        <v>0</v>
      </c>
      <c r="N272" s="49">
        <v>0</v>
      </c>
      <c r="O272" s="137">
        <v>0</v>
      </c>
      <c r="P272" s="137" t="s">
        <v>492</v>
      </c>
      <c r="Q272" s="182" t="s">
        <v>492</v>
      </c>
      <c r="R272" s="5">
        <v>0</v>
      </c>
      <c r="S272" s="149">
        <v>0</v>
      </c>
      <c r="T272" s="149">
        <v>0</v>
      </c>
      <c r="U272" s="150">
        <v>0</v>
      </c>
      <c r="V272" s="5" t="e">
        <v>#REF!</v>
      </c>
      <c r="W272" s="5" t="e">
        <v>#REF!</v>
      </c>
      <c r="X272" s="5"/>
      <c r="Y272" s="5"/>
      <c r="Z272" s="5"/>
      <c r="AA272" s="5"/>
      <c r="AB272" s="5"/>
      <c r="AC272" s="5"/>
      <c r="AD272" s="5"/>
      <c r="AE272" s="5"/>
      <c r="AF272" s="5"/>
      <c r="AG272" s="5"/>
      <c r="AH272" s="5"/>
      <c r="AI272" s="5"/>
      <c r="AJ272" s="5"/>
      <c r="AK272" s="5"/>
    </row>
    <row r="273" spans="1:37" ht="15" customHeight="1">
      <c r="A273" s="70" t="s">
        <v>492</v>
      </c>
      <c r="B273" s="70" t="s">
        <v>492</v>
      </c>
      <c r="C273" s="45"/>
      <c r="D273" s="42"/>
      <c r="E273" s="252">
        <v>0</v>
      </c>
      <c r="F273" s="29" t="s">
        <v>596</v>
      </c>
      <c r="G273" s="39"/>
      <c r="H273" s="39"/>
      <c r="I273" s="40"/>
      <c r="J273" s="47">
        <v>0</v>
      </c>
      <c r="K273" s="37">
        <v>0</v>
      </c>
      <c r="L273" s="43">
        <v>0</v>
      </c>
      <c r="M273" s="43">
        <v>0</v>
      </c>
      <c r="N273" s="49">
        <v>0</v>
      </c>
      <c r="O273" s="137">
        <v>0</v>
      </c>
      <c r="P273" s="137" t="s">
        <v>492</v>
      </c>
      <c r="Q273" s="182" t="s">
        <v>492</v>
      </c>
      <c r="R273" s="5">
        <v>0</v>
      </c>
      <c r="S273" s="149">
        <v>0</v>
      </c>
      <c r="T273" s="149">
        <v>0</v>
      </c>
      <c r="U273" s="150">
        <v>0</v>
      </c>
      <c r="V273" s="5" t="e">
        <v>#REF!</v>
      </c>
      <c r="W273" s="5" t="e">
        <v>#REF!</v>
      </c>
      <c r="X273" s="5"/>
      <c r="Y273" s="5"/>
      <c r="Z273" s="5"/>
      <c r="AA273" s="5"/>
      <c r="AB273" s="5"/>
      <c r="AC273" s="5"/>
      <c r="AD273" s="5"/>
      <c r="AE273" s="5"/>
      <c r="AF273" s="5"/>
      <c r="AG273" s="5"/>
      <c r="AH273" s="5"/>
      <c r="AI273" s="5"/>
      <c r="AJ273" s="5"/>
      <c r="AK273" s="5"/>
    </row>
    <row r="274" spans="1:37" ht="15" customHeight="1">
      <c r="A274" s="70" t="s">
        <v>492</v>
      </c>
      <c r="B274" s="70" t="s">
        <v>492</v>
      </c>
      <c r="C274" s="45"/>
      <c r="D274" s="42"/>
      <c r="E274" s="252">
        <v>0</v>
      </c>
      <c r="F274" s="29" t="s">
        <v>596</v>
      </c>
      <c r="G274" s="39"/>
      <c r="H274" s="39"/>
      <c r="I274" s="40"/>
      <c r="J274" s="47">
        <v>0</v>
      </c>
      <c r="K274" s="37">
        <v>0</v>
      </c>
      <c r="L274" s="43">
        <v>0</v>
      </c>
      <c r="M274" s="43">
        <v>0</v>
      </c>
      <c r="N274" s="49">
        <v>0</v>
      </c>
      <c r="O274" s="137">
        <v>0</v>
      </c>
      <c r="P274" s="137" t="s">
        <v>492</v>
      </c>
      <c r="Q274" s="182" t="s">
        <v>492</v>
      </c>
      <c r="R274" s="5">
        <v>0</v>
      </c>
      <c r="S274" s="149">
        <v>0</v>
      </c>
      <c r="T274" s="149">
        <v>0</v>
      </c>
      <c r="U274" s="150">
        <v>0</v>
      </c>
      <c r="V274" s="5" t="e">
        <v>#REF!</v>
      </c>
      <c r="W274" s="5" t="e">
        <v>#REF!</v>
      </c>
      <c r="X274" s="5"/>
      <c r="Y274" s="5"/>
      <c r="Z274" s="5"/>
      <c r="AA274" s="5"/>
      <c r="AB274" s="5"/>
      <c r="AC274" s="5"/>
      <c r="AD274" s="5"/>
      <c r="AE274" s="5"/>
      <c r="AF274" s="5"/>
      <c r="AG274" s="5"/>
      <c r="AH274" s="5"/>
      <c r="AI274" s="5"/>
      <c r="AJ274" s="5"/>
      <c r="AK274" s="5"/>
    </row>
    <row r="275" spans="1:37" ht="15" customHeight="1">
      <c r="A275" s="70" t="s">
        <v>492</v>
      </c>
      <c r="B275" s="70" t="s">
        <v>492</v>
      </c>
      <c r="C275" s="45"/>
      <c r="D275" s="42"/>
      <c r="E275" s="252">
        <v>0</v>
      </c>
      <c r="F275" s="29" t="s">
        <v>596</v>
      </c>
      <c r="G275" s="39"/>
      <c r="H275" s="39"/>
      <c r="I275" s="40"/>
      <c r="J275" s="47">
        <v>0</v>
      </c>
      <c r="K275" s="37">
        <v>0</v>
      </c>
      <c r="L275" s="43">
        <v>0</v>
      </c>
      <c r="M275" s="43">
        <v>0</v>
      </c>
      <c r="N275" s="49">
        <v>0</v>
      </c>
      <c r="O275" s="137">
        <v>0</v>
      </c>
      <c r="P275" s="137" t="s">
        <v>492</v>
      </c>
      <c r="Q275" s="182" t="s">
        <v>492</v>
      </c>
      <c r="R275" s="5">
        <v>0</v>
      </c>
      <c r="S275" s="149">
        <v>0</v>
      </c>
      <c r="T275" s="149">
        <v>0</v>
      </c>
      <c r="U275" s="150">
        <v>0</v>
      </c>
      <c r="V275" s="5" t="e">
        <v>#REF!</v>
      </c>
      <c r="W275" s="5" t="e">
        <v>#REF!</v>
      </c>
      <c r="X275" s="5"/>
      <c r="Y275" s="5"/>
      <c r="Z275" s="5"/>
      <c r="AA275" s="5"/>
      <c r="AB275" s="5"/>
      <c r="AC275" s="5"/>
      <c r="AD275" s="5"/>
      <c r="AE275" s="5"/>
      <c r="AF275" s="5"/>
      <c r="AG275" s="5"/>
      <c r="AH275" s="5"/>
      <c r="AI275" s="5"/>
      <c r="AJ275" s="5"/>
      <c r="AK275" s="5"/>
    </row>
    <row r="276" spans="1:37" ht="15" customHeight="1">
      <c r="A276" s="70" t="s">
        <v>492</v>
      </c>
      <c r="B276" s="70" t="s">
        <v>492</v>
      </c>
      <c r="C276" s="45"/>
      <c r="D276" s="42"/>
      <c r="E276" s="252">
        <v>0</v>
      </c>
      <c r="F276" s="29" t="s">
        <v>596</v>
      </c>
      <c r="G276" s="39"/>
      <c r="H276" s="39"/>
      <c r="I276" s="40"/>
      <c r="J276" s="47">
        <v>0</v>
      </c>
      <c r="K276" s="37">
        <v>0</v>
      </c>
      <c r="L276" s="43">
        <v>0</v>
      </c>
      <c r="M276" s="43">
        <v>0</v>
      </c>
      <c r="N276" s="49">
        <v>0</v>
      </c>
      <c r="O276" s="137">
        <v>0</v>
      </c>
      <c r="P276" s="137" t="s">
        <v>492</v>
      </c>
      <c r="Q276" s="182" t="s">
        <v>492</v>
      </c>
      <c r="R276" s="5">
        <v>0</v>
      </c>
      <c r="S276" s="149">
        <v>0</v>
      </c>
      <c r="T276" s="149">
        <v>0</v>
      </c>
      <c r="U276" s="150">
        <v>0</v>
      </c>
      <c r="V276" s="5" t="e">
        <v>#REF!</v>
      </c>
      <c r="W276" s="5" t="e">
        <v>#REF!</v>
      </c>
      <c r="X276" s="5"/>
      <c r="Y276" s="5"/>
      <c r="Z276" s="5"/>
      <c r="AA276" s="5"/>
      <c r="AB276" s="5"/>
      <c r="AC276" s="5"/>
      <c r="AD276" s="5"/>
      <c r="AE276" s="5"/>
      <c r="AF276" s="5"/>
      <c r="AG276" s="5"/>
      <c r="AH276" s="5"/>
      <c r="AI276" s="5"/>
      <c r="AJ276" s="5"/>
      <c r="AK276" s="5"/>
    </row>
    <row r="277" spans="1:37" ht="15" customHeight="1">
      <c r="A277" s="70" t="s">
        <v>492</v>
      </c>
      <c r="B277" s="70" t="s">
        <v>492</v>
      </c>
      <c r="C277" s="45"/>
      <c r="D277" s="42"/>
      <c r="E277" s="252">
        <v>0</v>
      </c>
      <c r="F277" s="29" t="s">
        <v>596</v>
      </c>
      <c r="G277" s="39"/>
      <c r="H277" s="39"/>
      <c r="I277" s="40"/>
      <c r="J277" s="47">
        <v>0</v>
      </c>
      <c r="K277" s="37">
        <v>0</v>
      </c>
      <c r="L277" s="43">
        <v>0</v>
      </c>
      <c r="M277" s="43">
        <v>0</v>
      </c>
      <c r="N277" s="49">
        <v>0</v>
      </c>
      <c r="O277" s="137">
        <v>0</v>
      </c>
      <c r="P277" s="137" t="s">
        <v>492</v>
      </c>
      <c r="Q277" s="182" t="s">
        <v>492</v>
      </c>
      <c r="R277" s="5">
        <v>0</v>
      </c>
      <c r="S277" s="149">
        <v>0</v>
      </c>
      <c r="T277" s="149">
        <v>0</v>
      </c>
      <c r="U277" s="150">
        <v>0</v>
      </c>
      <c r="V277" s="5" t="e">
        <v>#REF!</v>
      </c>
      <c r="W277" s="5" t="e">
        <v>#REF!</v>
      </c>
      <c r="X277" s="5"/>
      <c r="Y277" s="5"/>
      <c r="Z277" s="5"/>
      <c r="AA277" s="5"/>
      <c r="AB277" s="5"/>
      <c r="AC277" s="5"/>
      <c r="AD277" s="5"/>
      <c r="AE277" s="5"/>
      <c r="AF277" s="5"/>
      <c r="AG277" s="5"/>
      <c r="AH277" s="5"/>
      <c r="AI277" s="5"/>
      <c r="AJ277" s="5"/>
      <c r="AK277" s="5"/>
    </row>
    <row r="278" spans="1:37" ht="15" customHeight="1">
      <c r="A278" s="70" t="s">
        <v>492</v>
      </c>
      <c r="B278" s="70" t="s">
        <v>492</v>
      </c>
      <c r="C278" s="45"/>
      <c r="D278" s="42"/>
      <c r="E278" s="252">
        <v>0</v>
      </c>
      <c r="F278" s="29" t="s">
        <v>596</v>
      </c>
      <c r="G278" s="39"/>
      <c r="H278" s="39"/>
      <c r="I278" s="40"/>
      <c r="J278" s="47">
        <v>0</v>
      </c>
      <c r="K278" s="37">
        <v>0</v>
      </c>
      <c r="L278" s="43">
        <v>0</v>
      </c>
      <c r="M278" s="43">
        <v>0</v>
      </c>
      <c r="N278" s="49">
        <v>0</v>
      </c>
      <c r="O278" s="137">
        <v>0</v>
      </c>
      <c r="P278" s="137" t="s">
        <v>492</v>
      </c>
      <c r="Q278" s="182" t="s">
        <v>492</v>
      </c>
      <c r="R278" s="5">
        <v>0</v>
      </c>
      <c r="S278" s="149">
        <v>0</v>
      </c>
      <c r="T278" s="149">
        <v>0</v>
      </c>
      <c r="U278" s="150">
        <v>0</v>
      </c>
      <c r="V278" s="5" t="e">
        <v>#REF!</v>
      </c>
      <c r="W278" s="5" t="e">
        <v>#REF!</v>
      </c>
      <c r="X278" s="5"/>
      <c r="Y278" s="5"/>
      <c r="Z278" s="5"/>
      <c r="AA278" s="5"/>
      <c r="AB278" s="5"/>
      <c r="AC278" s="5"/>
      <c r="AD278" s="5"/>
      <c r="AE278" s="5"/>
      <c r="AF278" s="5"/>
      <c r="AG278" s="5"/>
      <c r="AH278" s="5"/>
      <c r="AI278" s="5"/>
      <c r="AJ278" s="5"/>
      <c r="AK278" s="5"/>
    </row>
    <row r="279" spans="1:37" ht="15" customHeight="1">
      <c r="A279" s="70" t="s">
        <v>492</v>
      </c>
      <c r="B279" s="70" t="s">
        <v>492</v>
      </c>
      <c r="C279" s="45"/>
      <c r="D279" s="42"/>
      <c r="E279" s="252">
        <v>0</v>
      </c>
      <c r="F279" s="29" t="s">
        <v>596</v>
      </c>
      <c r="G279" s="39"/>
      <c r="H279" s="39"/>
      <c r="I279" s="40"/>
      <c r="J279" s="47">
        <v>0</v>
      </c>
      <c r="K279" s="37">
        <v>0</v>
      </c>
      <c r="L279" s="43">
        <v>0</v>
      </c>
      <c r="M279" s="43">
        <v>0</v>
      </c>
      <c r="N279" s="49">
        <v>0</v>
      </c>
      <c r="O279" s="137">
        <v>0</v>
      </c>
      <c r="P279" s="137" t="s">
        <v>492</v>
      </c>
      <c r="Q279" s="182" t="s">
        <v>492</v>
      </c>
      <c r="R279" s="5">
        <v>0</v>
      </c>
      <c r="S279" s="149">
        <v>0</v>
      </c>
      <c r="T279" s="149">
        <v>0</v>
      </c>
      <c r="U279" s="150">
        <v>0</v>
      </c>
      <c r="V279" s="5" t="e">
        <v>#REF!</v>
      </c>
      <c r="W279" s="5" t="e">
        <v>#REF!</v>
      </c>
      <c r="X279" s="5"/>
      <c r="Y279" s="5"/>
      <c r="Z279" s="5"/>
      <c r="AA279" s="5"/>
      <c r="AB279" s="5"/>
      <c r="AC279" s="5"/>
      <c r="AD279" s="5"/>
      <c r="AE279" s="5"/>
      <c r="AF279" s="5"/>
      <c r="AG279" s="5"/>
      <c r="AH279" s="5"/>
      <c r="AI279" s="5"/>
      <c r="AJ279" s="5"/>
      <c r="AK279" s="5"/>
    </row>
    <row r="280" spans="1:37" ht="15" customHeight="1">
      <c r="A280" s="70" t="s">
        <v>492</v>
      </c>
      <c r="B280" s="70" t="s">
        <v>492</v>
      </c>
      <c r="C280" s="45"/>
      <c r="D280" s="42"/>
      <c r="E280" s="252">
        <v>0</v>
      </c>
      <c r="F280" s="29" t="s">
        <v>596</v>
      </c>
      <c r="G280" s="39"/>
      <c r="H280" s="39"/>
      <c r="I280" s="40"/>
      <c r="J280" s="47">
        <v>0</v>
      </c>
      <c r="K280" s="37">
        <v>0</v>
      </c>
      <c r="L280" s="43">
        <v>0</v>
      </c>
      <c r="M280" s="43">
        <v>0</v>
      </c>
      <c r="N280" s="49">
        <v>0</v>
      </c>
      <c r="O280" s="137">
        <v>0</v>
      </c>
      <c r="P280" s="137" t="s">
        <v>492</v>
      </c>
      <c r="Q280" s="182" t="s">
        <v>492</v>
      </c>
      <c r="R280" s="5">
        <v>0</v>
      </c>
      <c r="S280" s="149">
        <v>0</v>
      </c>
      <c r="T280" s="149">
        <v>0</v>
      </c>
      <c r="U280" s="150">
        <v>0</v>
      </c>
      <c r="V280" s="5" t="e">
        <v>#REF!</v>
      </c>
      <c r="W280" s="5" t="e">
        <v>#REF!</v>
      </c>
      <c r="X280" s="5"/>
      <c r="Y280" s="5"/>
      <c r="Z280" s="5"/>
      <c r="AA280" s="5"/>
      <c r="AB280" s="5"/>
      <c r="AC280" s="5"/>
      <c r="AD280" s="5"/>
      <c r="AE280" s="5"/>
      <c r="AF280" s="5"/>
      <c r="AG280" s="5"/>
      <c r="AH280" s="5"/>
      <c r="AI280" s="5"/>
      <c r="AJ280" s="5"/>
      <c r="AK280" s="5"/>
    </row>
    <row r="281" spans="1:37" ht="15" customHeight="1">
      <c r="A281" s="70" t="s">
        <v>492</v>
      </c>
      <c r="B281" s="70" t="s">
        <v>492</v>
      </c>
      <c r="C281" s="45"/>
      <c r="D281" s="42"/>
      <c r="E281" s="252">
        <v>0</v>
      </c>
      <c r="F281" s="29" t="s">
        <v>596</v>
      </c>
      <c r="G281" s="39"/>
      <c r="H281" s="39"/>
      <c r="I281" s="40"/>
      <c r="J281" s="47">
        <v>0</v>
      </c>
      <c r="K281" s="37">
        <v>0</v>
      </c>
      <c r="L281" s="43">
        <v>0</v>
      </c>
      <c r="M281" s="43">
        <v>0</v>
      </c>
      <c r="N281" s="49">
        <v>0</v>
      </c>
      <c r="O281" s="137">
        <v>0</v>
      </c>
      <c r="P281" s="137" t="s">
        <v>492</v>
      </c>
      <c r="Q281" s="182" t="s">
        <v>492</v>
      </c>
      <c r="R281" s="5">
        <v>0</v>
      </c>
      <c r="S281" s="149">
        <v>0</v>
      </c>
      <c r="T281" s="149">
        <v>0</v>
      </c>
      <c r="U281" s="150">
        <v>0</v>
      </c>
      <c r="V281" s="5" t="e">
        <v>#REF!</v>
      </c>
      <c r="W281" s="5" t="e">
        <v>#REF!</v>
      </c>
      <c r="X281" s="5"/>
      <c r="Y281" s="5"/>
      <c r="Z281" s="5"/>
      <c r="AA281" s="5"/>
      <c r="AB281" s="5"/>
      <c r="AC281" s="5"/>
      <c r="AD281" s="5"/>
      <c r="AE281" s="5"/>
      <c r="AF281" s="5"/>
      <c r="AG281" s="5"/>
      <c r="AH281" s="5"/>
      <c r="AI281" s="5"/>
      <c r="AJ281" s="5"/>
      <c r="AK281" s="5"/>
    </row>
    <row r="282" spans="1:37" ht="15" customHeight="1">
      <c r="A282" s="70" t="s">
        <v>492</v>
      </c>
      <c r="B282" s="70" t="s">
        <v>492</v>
      </c>
      <c r="C282" s="45"/>
      <c r="D282" s="42"/>
      <c r="E282" s="252">
        <v>0</v>
      </c>
      <c r="F282" s="29" t="s">
        <v>596</v>
      </c>
      <c r="G282" s="39"/>
      <c r="H282" s="39"/>
      <c r="I282" s="40"/>
      <c r="J282" s="47">
        <v>0</v>
      </c>
      <c r="K282" s="37">
        <v>0</v>
      </c>
      <c r="L282" s="43">
        <v>0</v>
      </c>
      <c r="M282" s="43">
        <v>0</v>
      </c>
      <c r="N282" s="49">
        <v>0</v>
      </c>
      <c r="O282" s="137">
        <v>0</v>
      </c>
      <c r="P282" s="137" t="s">
        <v>492</v>
      </c>
      <c r="Q282" s="182" t="s">
        <v>492</v>
      </c>
      <c r="R282" s="5">
        <v>0</v>
      </c>
      <c r="S282" s="149">
        <v>0</v>
      </c>
      <c r="T282" s="149">
        <v>0</v>
      </c>
      <c r="U282" s="150">
        <v>0</v>
      </c>
      <c r="V282" s="5" t="e">
        <v>#REF!</v>
      </c>
      <c r="W282" s="5" t="e">
        <v>#REF!</v>
      </c>
      <c r="X282" s="5"/>
      <c r="Y282" s="5"/>
      <c r="Z282" s="5"/>
      <c r="AA282" s="5"/>
      <c r="AB282" s="5"/>
      <c r="AC282" s="5"/>
      <c r="AD282" s="5"/>
      <c r="AE282" s="5"/>
      <c r="AF282" s="5"/>
      <c r="AG282" s="5"/>
      <c r="AH282" s="5"/>
      <c r="AI282" s="5"/>
      <c r="AJ282" s="5"/>
      <c r="AK282" s="5"/>
    </row>
    <row r="283" spans="1:37" ht="15" customHeight="1">
      <c r="A283" s="70" t="s">
        <v>492</v>
      </c>
      <c r="B283" s="70" t="s">
        <v>492</v>
      </c>
      <c r="C283" s="45"/>
      <c r="D283" s="42"/>
      <c r="E283" s="252">
        <v>0</v>
      </c>
      <c r="F283" s="29" t="s">
        <v>596</v>
      </c>
      <c r="G283" s="39"/>
      <c r="H283" s="39"/>
      <c r="I283" s="40"/>
      <c r="J283" s="47">
        <v>0</v>
      </c>
      <c r="K283" s="37">
        <v>0</v>
      </c>
      <c r="L283" s="43">
        <v>0</v>
      </c>
      <c r="M283" s="43">
        <v>0</v>
      </c>
      <c r="N283" s="49">
        <v>0</v>
      </c>
      <c r="O283" s="137">
        <v>0</v>
      </c>
      <c r="P283" s="137" t="s">
        <v>492</v>
      </c>
      <c r="Q283" s="182" t="s">
        <v>492</v>
      </c>
      <c r="R283" s="5">
        <v>0</v>
      </c>
      <c r="S283" s="149">
        <v>0</v>
      </c>
      <c r="T283" s="149">
        <v>0</v>
      </c>
      <c r="U283" s="150">
        <v>0</v>
      </c>
      <c r="V283" s="5" t="e">
        <v>#REF!</v>
      </c>
      <c r="W283" s="5" t="e">
        <v>#REF!</v>
      </c>
      <c r="X283" s="5"/>
      <c r="Y283" s="5"/>
      <c r="Z283" s="5"/>
      <c r="AA283" s="5"/>
      <c r="AB283" s="5"/>
      <c r="AC283" s="5"/>
      <c r="AD283" s="5"/>
      <c r="AE283" s="5"/>
      <c r="AF283" s="5"/>
      <c r="AG283" s="5"/>
      <c r="AH283" s="5"/>
      <c r="AI283" s="5"/>
      <c r="AJ283" s="5"/>
      <c r="AK283" s="5"/>
    </row>
    <row r="284" spans="1:37" ht="15" customHeight="1">
      <c r="A284" s="70" t="s">
        <v>492</v>
      </c>
      <c r="B284" s="70" t="s">
        <v>492</v>
      </c>
      <c r="C284" s="45"/>
      <c r="D284" s="42"/>
      <c r="E284" s="252">
        <v>0</v>
      </c>
      <c r="F284" s="29" t="s">
        <v>596</v>
      </c>
      <c r="G284" s="39"/>
      <c r="H284" s="39"/>
      <c r="I284" s="40"/>
      <c r="J284" s="47">
        <v>0</v>
      </c>
      <c r="K284" s="37">
        <v>0</v>
      </c>
      <c r="L284" s="43">
        <v>0</v>
      </c>
      <c r="M284" s="43">
        <v>0</v>
      </c>
      <c r="N284" s="49">
        <v>0</v>
      </c>
      <c r="O284" s="137">
        <v>0</v>
      </c>
      <c r="P284" s="137" t="s">
        <v>492</v>
      </c>
      <c r="Q284" s="182" t="s">
        <v>492</v>
      </c>
      <c r="R284" s="5">
        <v>0</v>
      </c>
      <c r="S284" s="149">
        <v>0</v>
      </c>
      <c r="T284" s="149">
        <v>0</v>
      </c>
      <c r="U284" s="150">
        <v>0</v>
      </c>
      <c r="V284" s="5" t="e">
        <v>#REF!</v>
      </c>
      <c r="W284" s="5" t="e">
        <v>#REF!</v>
      </c>
      <c r="X284" s="5"/>
      <c r="Y284" s="5"/>
      <c r="Z284" s="5"/>
      <c r="AA284" s="5"/>
      <c r="AB284" s="5"/>
      <c r="AC284" s="5"/>
      <c r="AD284" s="5"/>
      <c r="AE284" s="5"/>
      <c r="AF284" s="5"/>
      <c r="AG284" s="5"/>
      <c r="AH284" s="5"/>
      <c r="AI284" s="5"/>
      <c r="AJ284" s="5"/>
      <c r="AK284" s="5"/>
    </row>
    <row r="285" spans="1:37" ht="15" customHeight="1">
      <c r="A285" s="70" t="s">
        <v>492</v>
      </c>
      <c r="B285" s="70" t="s">
        <v>492</v>
      </c>
      <c r="C285" s="45"/>
      <c r="D285" s="42"/>
      <c r="E285" s="252">
        <v>0</v>
      </c>
      <c r="F285" s="29" t="s">
        <v>596</v>
      </c>
      <c r="G285" s="39"/>
      <c r="H285" s="39"/>
      <c r="I285" s="40"/>
      <c r="J285" s="47">
        <v>0</v>
      </c>
      <c r="K285" s="37">
        <v>0</v>
      </c>
      <c r="L285" s="43">
        <v>0</v>
      </c>
      <c r="M285" s="43">
        <v>0</v>
      </c>
      <c r="N285" s="49">
        <v>0</v>
      </c>
      <c r="O285" s="137">
        <v>0</v>
      </c>
      <c r="P285" s="137" t="s">
        <v>492</v>
      </c>
      <c r="Q285" s="182" t="s">
        <v>492</v>
      </c>
      <c r="R285" s="5">
        <v>0</v>
      </c>
      <c r="S285" s="149">
        <v>0</v>
      </c>
      <c r="T285" s="149">
        <v>0</v>
      </c>
      <c r="U285" s="150">
        <v>0</v>
      </c>
      <c r="V285" s="5" t="e">
        <v>#REF!</v>
      </c>
      <c r="W285" s="5" t="e">
        <v>#REF!</v>
      </c>
      <c r="X285" s="5"/>
      <c r="Y285" s="5"/>
      <c r="Z285" s="5"/>
      <c r="AA285" s="5"/>
      <c r="AB285" s="5"/>
      <c r="AC285" s="5"/>
      <c r="AD285" s="5"/>
      <c r="AE285" s="5"/>
      <c r="AF285" s="5"/>
      <c r="AG285" s="5"/>
      <c r="AH285" s="5"/>
      <c r="AI285" s="5"/>
      <c r="AJ285" s="5"/>
      <c r="AK285" s="5"/>
    </row>
    <row r="286" spans="1:37" ht="15" customHeight="1">
      <c r="A286" s="70" t="s">
        <v>492</v>
      </c>
      <c r="B286" s="70" t="s">
        <v>492</v>
      </c>
      <c r="C286" s="45"/>
      <c r="D286" s="42"/>
      <c r="E286" s="252">
        <v>0</v>
      </c>
      <c r="F286" s="29" t="s">
        <v>596</v>
      </c>
      <c r="G286" s="39"/>
      <c r="H286" s="39"/>
      <c r="I286" s="40"/>
      <c r="J286" s="47">
        <v>0</v>
      </c>
      <c r="K286" s="37">
        <v>0</v>
      </c>
      <c r="L286" s="43">
        <v>0</v>
      </c>
      <c r="M286" s="43">
        <v>0</v>
      </c>
      <c r="N286" s="49">
        <v>0</v>
      </c>
      <c r="O286" s="137">
        <v>0</v>
      </c>
      <c r="P286" s="137" t="s">
        <v>492</v>
      </c>
      <c r="Q286" s="182" t="s">
        <v>492</v>
      </c>
      <c r="R286" s="5">
        <v>0</v>
      </c>
      <c r="S286" s="149">
        <v>0</v>
      </c>
      <c r="T286" s="149">
        <v>0</v>
      </c>
      <c r="U286" s="150">
        <v>0</v>
      </c>
      <c r="V286" s="5" t="e">
        <v>#REF!</v>
      </c>
      <c r="W286" s="5" t="e">
        <v>#REF!</v>
      </c>
      <c r="X286" s="5"/>
      <c r="Y286" s="5"/>
      <c r="Z286" s="5"/>
      <c r="AA286" s="5"/>
      <c r="AB286" s="5"/>
      <c r="AC286" s="5"/>
      <c r="AD286" s="5"/>
      <c r="AE286" s="5"/>
      <c r="AF286" s="5"/>
      <c r="AG286" s="5"/>
      <c r="AH286" s="5"/>
      <c r="AI286" s="5"/>
      <c r="AJ286" s="5"/>
      <c r="AK286" s="5"/>
    </row>
    <row r="287" spans="1:37" ht="15" customHeight="1">
      <c r="A287" s="70" t="s">
        <v>492</v>
      </c>
      <c r="B287" s="70" t="s">
        <v>492</v>
      </c>
      <c r="C287" s="45"/>
      <c r="D287" s="42"/>
      <c r="E287" s="252">
        <v>0</v>
      </c>
      <c r="F287" s="29" t="s">
        <v>596</v>
      </c>
      <c r="G287" s="39"/>
      <c r="H287" s="39"/>
      <c r="I287" s="40"/>
      <c r="J287" s="47">
        <v>0</v>
      </c>
      <c r="K287" s="37">
        <v>0</v>
      </c>
      <c r="L287" s="43">
        <v>0</v>
      </c>
      <c r="M287" s="43">
        <v>0</v>
      </c>
      <c r="N287" s="49">
        <v>0</v>
      </c>
      <c r="O287" s="137">
        <v>0</v>
      </c>
      <c r="P287" s="137" t="s">
        <v>492</v>
      </c>
      <c r="Q287" s="182" t="s">
        <v>492</v>
      </c>
      <c r="R287" s="5">
        <v>0</v>
      </c>
      <c r="S287" s="149">
        <v>0</v>
      </c>
      <c r="T287" s="149">
        <v>0</v>
      </c>
      <c r="U287" s="150">
        <v>0</v>
      </c>
      <c r="V287" s="5" t="e">
        <v>#REF!</v>
      </c>
      <c r="W287" s="5" t="e">
        <v>#REF!</v>
      </c>
      <c r="X287" s="5"/>
      <c r="Y287" s="5"/>
      <c r="Z287" s="5"/>
      <c r="AA287" s="5"/>
      <c r="AB287" s="5"/>
      <c r="AC287" s="5"/>
      <c r="AD287" s="5"/>
      <c r="AE287" s="5"/>
      <c r="AF287" s="5"/>
      <c r="AG287" s="5"/>
      <c r="AH287" s="5"/>
      <c r="AI287" s="5"/>
      <c r="AJ287" s="5"/>
      <c r="AK287" s="5"/>
    </row>
    <row r="288" spans="1:37" ht="15" customHeight="1">
      <c r="A288" s="70" t="s">
        <v>492</v>
      </c>
      <c r="B288" s="70" t="s">
        <v>492</v>
      </c>
      <c r="C288" s="45"/>
      <c r="D288" s="42"/>
      <c r="E288" s="252">
        <v>0</v>
      </c>
      <c r="F288" s="29" t="s">
        <v>596</v>
      </c>
      <c r="G288" s="39"/>
      <c r="H288" s="39"/>
      <c r="I288" s="40"/>
      <c r="J288" s="47">
        <v>0</v>
      </c>
      <c r="K288" s="37">
        <v>0</v>
      </c>
      <c r="L288" s="43">
        <v>0</v>
      </c>
      <c r="M288" s="43">
        <v>0</v>
      </c>
      <c r="N288" s="49">
        <v>0</v>
      </c>
      <c r="O288" s="137">
        <v>0</v>
      </c>
      <c r="P288" s="137" t="s">
        <v>492</v>
      </c>
      <c r="Q288" s="182" t="s">
        <v>492</v>
      </c>
      <c r="R288" s="5">
        <v>0</v>
      </c>
      <c r="S288" s="149">
        <v>0</v>
      </c>
      <c r="T288" s="149">
        <v>0</v>
      </c>
      <c r="U288" s="150">
        <v>0</v>
      </c>
      <c r="V288" s="5" t="e">
        <v>#REF!</v>
      </c>
      <c r="W288" s="5" t="e">
        <v>#REF!</v>
      </c>
      <c r="X288" s="5"/>
      <c r="Y288" s="5"/>
      <c r="Z288" s="5"/>
      <c r="AA288" s="5"/>
      <c r="AB288" s="5"/>
      <c r="AC288" s="5"/>
      <c r="AD288" s="5"/>
      <c r="AE288" s="5"/>
      <c r="AF288" s="5"/>
      <c r="AG288" s="5"/>
      <c r="AH288" s="5"/>
      <c r="AI288" s="5"/>
      <c r="AJ288" s="5"/>
      <c r="AK288" s="5"/>
    </row>
    <row r="289" spans="1:37" ht="15" customHeight="1">
      <c r="A289" s="70" t="s">
        <v>492</v>
      </c>
      <c r="B289" s="70" t="s">
        <v>492</v>
      </c>
      <c r="C289" s="45"/>
      <c r="D289" s="42"/>
      <c r="E289" s="252">
        <v>0</v>
      </c>
      <c r="F289" s="29" t="s">
        <v>596</v>
      </c>
      <c r="G289" s="39"/>
      <c r="H289" s="39"/>
      <c r="I289" s="40"/>
      <c r="J289" s="47">
        <v>0</v>
      </c>
      <c r="K289" s="37">
        <v>0</v>
      </c>
      <c r="L289" s="43">
        <v>0</v>
      </c>
      <c r="M289" s="43">
        <v>0</v>
      </c>
      <c r="N289" s="49">
        <v>0</v>
      </c>
      <c r="O289" s="137">
        <v>0</v>
      </c>
      <c r="P289" s="137" t="s">
        <v>492</v>
      </c>
      <c r="Q289" s="182" t="s">
        <v>492</v>
      </c>
      <c r="R289" s="5">
        <v>0</v>
      </c>
      <c r="S289" s="149">
        <v>0</v>
      </c>
      <c r="T289" s="149">
        <v>0</v>
      </c>
      <c r="U289" s="150">
        <v>0</v>
      </c>
      <c r="V289" s="5" t="e">
        <v>#REF!</v>
      </c>
      <c r="W289" s="5" t="e">
        <v>#REF!</v>
      </c>
      <c r="X289" s="5"/>
      <c r="Y289" s="5"/>
      <c r="Z289" s="5"/>
      <c r="AA289" s="5"/>
      <c r="AB289" s="5"/>
      <c r="AC289" s="5"/>
      <c r="AD289" s="5"/>
      <c r="AE289" s="5"/>
      <c r="AF289" s="5"/>
      <c r="AG289" s="5"/>
      <c r="AH289" s="5"/>
      <c r="AI289" s="5"/>
      <c r="AJ289" s="5"/>
      <c r="AK289" s="5"/>
    </row>
    <row r="290" spans="1:37" ht="15" customHeight="1">
      <c r="A290" s="70" t="s">
        <v>492</v>
      </c>
      <c r="B290" s="70" t="s">
        <v>492</v>
      </c>
      <c r="C290" s="45"/>
      <c r="D290" s="42"/>
      <c r="E290" s="252">
        <v>0</v>
      </c>
      <c r="F290" s="29" t="s">
        <v>596</v>
      </c>
      <c r="G290" s="39"/>
      <c r="H290" s="39"/>
      <c r="I290" s="40"/>
      <c r="J290" s="47">
        <v>0</v>
      </c>
      <c r="K290" s="37">
        <v>0</v>
      </c>
      <c r="L290" s="43">
        <v>0</v>
      </c>
      <c r="M290" s="43">
        <v>0</v>
      </c>
      <c r="N290" s="49">
        <v>0</v>
      </c>
      <c r="O290" s="137">
        <v>0</v>
      </c>
      <c r="P290" s="137" t="s">
        <v>492</v>
      </c>
      <c r="Q290" s="182" t="s">
        <v>492</v>
      </c>
      <c r="R290" s="5">
        <v>0</v>
      </c>
      <c r="S290" s="149">
        <v>0</v>
      </c>
      <c r="T290" s="149">
        <v>0</v>
      </c>
      <c r="U290" s="150">
        <v>0</v>
      </c>
      <c r="V290" s="5" t="e">
        <v>#REF!</v>
      </c>
      <c r="W290" s="5" t="e">
        <v>#REF!</v>
      </c>
      <c r="X290" s="5"/>
      <c r="Y290" s="5"/>
      <c r="Z290" s="5"/>
      <c r="AA290" s="5"/>
      <c r="AB290" s="5"/>
      <c r="AC290" s="5"/>
      <c r="AD290" s="5"/>
      <c r="AE290" s="5"/>
      <c r="AF290" s="5"/>
      <c r="AG290" s="5"/>
      <c r="AH290" s="5"/>
      <c r="AI290" s="5"/>
      <c r="AJ290" s="5"/>
      <c r="AK290" s="5"/>
    </row>
    <row r="291" spans="1:37" ht="15" customHeight="1">
      <c r="A291" s="70" t="s">
        <v>492</v>
      </c>
      <c r="B291" s="70" t="s">
        <v>492</v>
      </c>
      <c r="C291" s="45"/>
      <c r="D291" s="55"/>
      <c r="E291" s="252">
        <v>0</v>
      </c>
      <c r="F291" s="29" t="s">
        <v>596</v>
      </c>
      <c r="G291" s="39"/>
      <c r="H291" s="39"/>
      <c r="I291" s="40"/>
      <c r="J291" s="47">
        <v>0</v>
      </c>
      <c r="K291" s="37">
        <v>0</v>
      </c>
      <c r="L291" s="43">
        <v>0</v>
      </c>
      <c r="M291" s="43">
        <v>0</v>
      </c>
      <c r="N291" s="49">
        <v>0</v>
      </c>
      <c r="O291" s="137">
        <v>0</v>
      </c>
      <c r="P291" s="137" t="s">
        <v>492</v>
      </c>
      <c r="Q291" s="182" t="s">
        <v>492</v>
      </c>
      <c r="R291" s="5">
        <v>0</v>
      </c>
      <c r="S291" s="149">
        <v>0</v>
      </c>
      <c r="T291" s="149">
        <v>0</v>
      </c>
      <c r="U291" s="150">
        <v>0</v>
      </c>
      <c r="V291" s="5" t="e">
        <v>#REF!</v>
      </c>
      <c r="W291" s="5" t="e">
        <v>#REF!</v>
      </c>
      <c r="X291" s="5"/>
      <c r="Y291" s="5"/>
      <c r="Z291" s="5"/>
      <c r="AA291" s="5"/>
      <c r="AB291" s="5"/>
      <c r="AC291" s="5"/>
      <c r="AD291" s="5"/>
      <c r="AE291" s="5"/>
      <c r="AF291" s="5"/>
      <c r="AG291" s="5"/>
      <c r="AH291" s="5"/>
      <c r="AI291" s="5"/>
      <c r="AJ291" s="5"/>
      <c r="AK291" s="5"/>
    </row>
    <row r="292" spans="1:37" ht="15" customHeight="1">
      <c r="A292" s="70" t="s">
        <v>492</v>
      </c>
      <c r="B292" s="70" t="s">
        <v>492</v>
      </c>
      <c r="C292" s="45"/>
      <c r="D292" s="55"/>
      <c r="E292" s="252">
        <v>0</v>
      </c>
      <c r="F292" s="29" t="s">
        <v>596</v>
      </c>
      <c r="G292" s="39"/>
      <c r="H292" s="39"/>
      <c r="I292" s="40"/>
      <c r="J292" s="47">
        <v>0</v>
      </c>
      <c r="K292" s="37">
        <v>0</v>
      </c>
      <c r="L292" s="43">
        <v>0</v>
      </c>
      <c r="M292" s="43">
        <v>0</v>
      </c>
      <c r="N292" s="49">
        <v>0</v>
      </c>
      <c r="O292" s="137">
        <v>0</v>
      </c>
      <c r="P292" s="137" t="s">
        <v>492</v>
      </c>
      <c r="Q292" s="182" t="s">
        <v>492</v>
      </c>
      <c r="R292" s="5">
        <v>0</v>
      </c>
      <c r="S292" s="149">
        <v>0</v>
      </c>
      <c r="T292" s="149">
        <v>0</v>
      </c>
      <c r="U292" s="150">
        <v>0</v>
      </c>
      <c r="V292" s="5" t="e">
        <v>#REF!</v>
      </c>
      <c r="W292" s="5" t="e">
        <v>#REF!</v>
      </c>
      <c r="X292" s="5"/>
      <c r="Y292" s="5"/>
      <c r="Z292" s="5"/>
      <c r="AA292" s="5"/>
      <c r="AB292" s="5"/>
      <c r="AC292" s="5"/>
      <c r="AD292" s="5"/>
      <c r="AE292" s="5"/>
      <c r="AF292" s="5"/>
      <c r="AG292" s="5"/>
      <c r="AH292" s="5"/>
      <c r="AI292" s="5"/>
      <c r="AJ292" s="5"/>
      <c r="AK292" s="5"/>
    </row>
    <row r="293" spans="1:37" ht="15" customHeight="1">
      <c r="A293" s="70" t="s">
        <v>492</v>
      </c>
      <c r="B293" s="70" t="s">
        <v>492</v>
      </c>
      <c r="C293" s="45"/>
      <c r="D293" s="55"/>
      <c r="E293" s="252">
        <v>0</v>
      </c>
      <c r="F293" s="29" t="s">
        <v>596</v>
      </c>
      <c r="G293" s="39"/>
      <c r="H293" s="39"/>
      <c r="I293" s="40"/>
      <c r="J293" s="47">
        <v>0</v>
      </c>
      <c r="K293" s="37">
        <v>0</v>
      </c>
      <c r="L293" s="43">
        <v>0</v>
      </c>
      <c r="M293" s="43">
        <v>0</v>
      </c>
      <c r="N293" s="49">
        <v>0</v>
      </c>
      <c r="O293" s="137">
        <v>0</v>
      </c>
      <c r="P293" s="137" t="s">
        <v>492</v>
      </c>
      <c r="Q293" s="182" t="s">
        <v>492</v>
      </c>
      <c r="R293" s="5">
        <v>0</v>
      </c>
      <c r="S293" s="149">
        <v>0</v>
      </c>
      <c r="T293" s="149">
        <v>0</v>
      </c>
      <c r="U293" s="150">
        <v>0</v>
      </c>
      <c r="V293" s="5" t="e">
        <v>#REF!</v>
      </c>
      <c r="W293" s="5" t="e">
        <v>#REF!</v>
      </c>
      <c r="X293" s="5"/>
      <c r="Y293" s="5"/>
      <c r="Z293" s="5"/>
      <c r="AA293" s="5"/>
      <c r="AB293" s="5"/>
      <c r="AC293" s="5"/>
      <c r="AD293" s="5"/>
      <c r="AE293" s="5"/>
      <c r="AF293" s="5"/>
      <c r="AG293" s="5"/>
      <c r="AH293" s="5"/>
      <c r="AI293" s="5"/>
      <c r="AJ293" s="5"/>
      <c r="AK293" s="5"/>
    </row>
    <row r="294" spans="1:37" ht="15" customHeight="1">
      <c r="A294" s="70" t="s">
        <v>492</v>
      </c>
      <c r="B294" s="70" t="s">
        <v>492</v>
      </c>
      <c r="C294" s="45"/>
      <c r="D294" s="55"/>
      <c r="E294" s="252">
        <v>0</v>
      </c>
      <c r="F294" s="29" t="s">
        <v>596</v>
      </c>
      <c r="G294" s="39"/>
      <c r="H294" s="39"/>
      <c r="I294" s="40"/>
      <c r="J294" s="47">
        <v>0</v>
      </c>
      <c r="K294" s="37">
        <v>0</v>
      </c>
      <c r="L294" s="43">
        <v>0</v>
      </c>
      <c r="M294" s="43">
        <v>0</v>
      </c>
      <c r="N294" s="49">
        <v>0</v>
      </c>
      <c r="O294" s="137">
        <v>0</v>
      </c>
      <c r="P294" s="137" t="s">
        <v>492</v>
      </c>
      <c r="Q294" s="182" t="s">
        <v>492</v>
      </c>
      <c r="R294" s="5">
        <v>0</v>
      </c>
      <c r="S294" s="149">
        <v>0</v>
      </c>
      <c r="T294" s="149">
        <v>0</v>
      </c>
      <c r="U294" s="150">
        <v>0</v>
      </c>
      <c r="V294" s="5" t="e">
        <v>#REF!</v>
      </c>
      <c r="W294" s="5" t="e">
        <v>#REF!</v>
      </c>
      <c r="X294" s="5"/>
      <c r="Y294" s="5"/>
      <c r="Z294" s="5"/>
      <c r="AA294" s="5"/>
      <c r="AB294" s="5"/>
      <c r="AC294" s="5"/>
      <c r="AD294" s="5"/>
      <c r="AE294" s="5"/>
      <c r="AF294" s="5"/>
      <c r="AG294" s="5"/>
      <c r="AH294" s="5"/>
      <c r="AI294" s="5"/>
      <c r="AJ294" s="5"/>
      <c r="AK294" s="5"/>
    </row>
    <row r="295" spans="1:37" ht="15" customHeight="1">
      <c r="A295" s="70" t="s">
        <v>492</v>
      </c>
      <c r="B295" s="70" t="s">
        <v>492</v>
      </c>
      <c r="C295" s="45"/>
      <c r="D295" s="55"/>
      <c r="E295" s="252">
        <v>0</v>
      </c>
      <c r="F295" s="29" t="s">
        <v>596</v>
      </c>
      <c r="G295" s="39"/>
      <c r="H295" s="39"/>
      <c r="I295" s="40"/>
      <c r="J295" s="47">
        <v>0</v>
      </c>
      <c r="K295" s="37">
        <v>0</v>
      </c>
      <c r="L295" s="43">
        <v>0</v>
      </c>
      <c r="M295" s="43">
        <v>0</v>
      </c>
      <c r="N295" s="49">
        <v>0</v>
      </c>
      <c r="O295" s="137">
        <v>0</v>
      </c>
      <c r="P295" s="137" t="s">
        <v>492</v>
      </c>
      <c r="Q295" s="182" t="s">
        <v>492</v>
      </c>
      <c r="R295" s="5">
        <v>0</v>
      </c>
      <c r="S295" s="149">
        <v>0</v>
      </c>
      <c r="T295" s="149">
        <v>0</v>
      </c>
      <c r="U295" s="150">
        <v>0</v>
      </c>
      <c r="V295" s="5" t="e">
        <v>#REF!</v>
      </c>
      <c r="W295" s="5" t="e">
        <v>#REF!</v>
      </c>
      <c r="X295" s="5"/>
      <c r="Y295" s="5"/>
      <c r="Z295" s="5"/>
      <c r="AA295" s="5"/>
      <c r="AB295" s="5"/>
      <c r="AC295" s="5"/>
      <c r="AD295" s="5"/>
      <c r="AE295" s="5"/>
      <c r="AF295" s="5"/>
      <c r="AG295" s="5"/>
      <c r="AH295" s="5"/>
      <c r="AI295" s="5"/>
      <c r="AJ295" s="5"/>
      <c r="AK295" s="5"/>
    </row>
    <row r="296" spans="1:37" ht="15" customHeight="1">
      <c r="A296" s="70" t="s">
        <v>492</v>
      </c>
      <c r="B296" s="70" t="s">
        <v>492</v>
      </c>
      <c r="C296" s="45"/>
      <c r="D296" s="55"/>
      <c r="E296" s="252">
        <v>0</v>
      </c>
      <c r="F296" s="29" t="s">
        <v>596</v>
      </c>
      <c r="G296" s="39"/>
      <c r="H296" s="39"/>
      <c r="I296" s="40"/>
      <c r="J296" s="47">
        <v>0</v>
      </c>
      <c r="K296" s="37">
        <v>0</v>
      </c>
      <c r="L296" s="43">
        <v>0</v>
      </c>
      <c r="M296" s="43">
        <v>0</v>
      </c>
      <c r="N296" s="49">
        <v>0</v>
      </c>
      <c r="O296" s="137">
        <v>0</v>
      </c>
      <c r="P296" s="137" t="s">
        <v>492</v>
      </c>
      <c r="Q296" s="182" t="s">
        <v>492</v>
      </c>
      <c r="R296" s="5">
        <v>0</v>
      </c>
      <c r="S296" s="149">
        <v>0</v>
      </c>
      <c r="T296" s="149">
        <v>0</v>
      </c>
      <c r="U296" s="150">
        <v>0</v>
      </c>
      <c r="V296" s="5" t="e">
        <v>#REF!</v>
      </c>
      <c r="W296" s="5" t="e">
        <v>#REF!</v>
      </c>
      <c r="X296" s="5"/>
      <c r="Y296" s="5"/>
      <c r="Z296" s="5"/>
      <c r="AA296" s="5"/>
      <c r="AB296" s="5"/>
      <c r="AC296" s="5"/>
      <c r="AD296" s="5"/>
      <c r="AE296" s="5"/>
      <c r="AF296" s="5"/>
      <c r="AG296" s="5"/>
      <c r="AH296" s="5"/>
      <c r="AI296" s="5"/>
      <c r="AJ296" s="5"/>
      <c r="AK296" s="5"/>
    </row>
    <row r="297" spans="1:37" ht="15" customHeight="1">
      <c r="A297" s="70" t="s">
        <v>492</v>
      </c>
      <c r="B297" s="70" t="s">
        <v>492</v>
      </c>
      <c r="C297" s="45"/>
      <c r="D297" s="55"/>
      <c r="E297" s="252">
        <v>0</v>
      </c>
      <c r="F297" s="29" t="s">
        <v>596</v>
      </c>
      <c r="G297" s="39"/>
      <c r="H297" s="39"/>
      <c r="I297" s="40"/>
      <c r="J297" s="47">
        <v>0</v>
      </c>
      <c r="K297" s="37">
        <v>0</v>
      </c>
      <c r="L297" s="43">
        <v>0</v>
      </c>
      <c r="M297" s="43">
        <v>0</v>
      </c>
      <c r="N297" s="49">
        <v>0</v>
      </c>
      <c r="O297" s="137">
        <v>0</v>
      </c>
      <c r="P297" s="137" t="s">
        <v>492</v>
      </c>
      <c r="Q297" s="182" t="s">
        <v>492</v>
      </c>
      <c r="R297" s="5">
        <v>0</v>
      </c>
      <c r="S297" s="149">
        <v>0</v>
      </c>
      <c r="T297" s="149">
        <v>0</v>
      </c>
      <c r="U297" s="150">
        <v>0</v>
      </c>
      <c r="V297" s="5" t="e">
        <v>#REF!</v>
      </c>
      <c r="W297" s="5" t="e">
        <v>#REF!</v>
      </c>
      <c r="X297" s="5"/>
      <c r="Y297" s="5"/>
      <c r="Z297" s="5"/>
      <c r="AA297" s="5"/>
      <c r="AB297" s="5"/>
      <c r="AC297" s="5"/>
      <c r="AD297" s="5"/>
      <c r="AE297" s="5"/>
      <c r="AF297" s="5"/>
      <c r="AG297" s="5"/>
      <c r="AH297" s="5"/>
      <c r="AI297" s="5"/>
      <c r="AJ297" s="5"/>
      <c r="AK297" s="5"/>
    </row>
    <row r="298" spans="1:37" ht="15" customHeight="1">
      <c r="A298" s="70" t="s">
        <v>492</v>
      </c>
      <c r="B298" s="70" t="s">
        <v>492</v>
      </c>
      <c r="C298" s="45"/>
      <c r="D298" s="55"/>
      <c r="E298" s="252">
        <v>0</v>
      </c>
      <c r="F298" s="29" t="s">
        <v>596</v>
      </c>
      <c r="G298" s="39"/>
      <c r="H298" s="39"/>
      <c r="I298" s="40"/>
      <c r="J298" s="47">
        <v>0</v>
      </c>
      <c r="K298" s="37">
        <v>0</v>
      </c>
      <c r="L298" s="43">
        <v>0</v>
      </c>
      <c r="M298" s="43">
        <v>0</v>
      </c>
      <c r="N298" s="49">
        <v>0</v>
      </c>
      <c r="O298" s="137">
        <v>0</v>
      </c>
      <c r="P298" s="137" t="s">
        <v>492</v>
      </c>
      <c r="Q298" s="182" t="s">
        <v>492</v>
      </c>
      <c r="R298" s="5">
        <v>0</v>
      </c>
      <c r="S298" s="149">
        <v>0</v>
      </c>
      <c r="T298" s="149">
        <v>0</v>
      </c>
      <c r="U298" s="150">
        <v>0</v>
      </c>
      <c r="V298" s="5" t="e">
        <v>#REF!</v>
      </c>
      <c r="W298" s="5" t="e">
        <v>#REF!</v>
      </c>
      <c r="X298" s="5"/>
      <c r="Y298" s="5"/>
      <c r="Z298" s="5"/>
      <c r="AA298" s="5"/>
      <c r="AB298" s="5"/>
      <c r="AC298" s="5"/>
      <c r="AD298" s="5"/>
      <c r="AE298" s="5"/>
      <c r="AF298" s="5"/>
      <c r="AG298" s="5"/>
      <c r="AH298" s="5"/>
      <c r="AI298" s="5"/>
      <c r="AJ298" s="5"/>
      <c r="AK298" s="5"/>
    </row>
    <row r="299" spans="1:37" ht="15" customHeight="1">
      <c r="A299" s="70" t="s">
        <v>492</v>
      </c>
      <c r="B299" s="70" t="s">
        <v>492</v>
      </c>
      <c r="C299" s="45"/>
      <c r="D299" s="55"/>
      <c r="E299" s="252">
        <v>0</v>
      </c>
      <c r="F299" s="29" t="s">
        <v>596</v>
      </c>
      <c r="G299" s="39"/>
      <c r="H299" s="39"/>
      <c r="I299" s="40"/>
      <c r="J299" s="47">
        <v>0</v>
      </c>
      <c r="K299" s="37">
        <v>0</v>
      </c>
      <c r="L299" s="43">
        <v>0</v>
      </c>
      <c r="M299" s="43">
        <v>0</v>
      </c>
      <c r="N299" s="49">
        <v>0</v>
      </c>
      <c r="O299" s="137">
        <v>0</v>
      </c>
      <c r="P299" s="137" t="s">
        <v>492</v>
      </c>
      <c r="Q299" s="182" t="s">
        <v>492</v>
      </c>
      <c r="R299" s="5">
        <v>0</v>
      </c>
      <c r="S299" s="149">
        <v>0</v>
      </c>
      <c r="T299" s="149">
        <v>0</v>
      </c>
      <c r="U299" s="150">
        <v>0</v>
      </c>
      <c r="V299" s="5" t="e">
        <v>#REF!</v>
      </c>
      <c r="W299" s="5" t="e">
        <v>#REF!</v>
      </c>
      <c r="X299" s="5"/>
      <c r="Y299" s="5"/>
      <c r="Z299" s="5"/>
      <c r="AA299" s="5"/>
      <c r="AB299" s="5"/>
      <c r="AC299" s="5"/>
      <c r="AD299" s="5"/>
      <c r="AE299" s="5"/>
      <c r="AF299" s="5"/>
      <c r="AG299" s="5"/>
      <c r="AH299" s="5"/>
      <c r="AI299" s="5"/>
      <c r="AJ299" s="5"/>
      <c r="AK299" s="5"/>
    </row>
    <row r="300" spans="1:37" ht="15" customHeight="1">
      <c r="A300" s="70" t="s">
        <v>492</v>
      </c>
      <c r="B300" s="70" t="s">
        <v>492</v>
      </c>
      <c r="C300" s="45"/>
      <c r="D300" s="55"/>
      <c r="E300" s="252">
        <v>0</v>
      </c>
      <c r="F300" s="29" t="s">
        <v>596</v>
      </c>
      <c r="G300" s="39"/>
      <c r="H300" s="39"/>
      <c r="I300" s="40"/>
      <c r="J300" s="47">
        <v>0</v>
      </c>
      <c r="K300" s="37">
        <v>0</v>
      </c>
      <c r="L300" s="43">
        <v>0</v>
      </c>
      <c r="M300" s="43">
        <v>0</v>
      </c>
      <c r="N300" s="49">
        <v>0</v>
      </c>
      <c r="O300" s="137">
        <v>0</v>
      </c>
      <c r="P300" s="137" t="s">
        <v>492</v>
      </c>
      <c r="Q300" s="182" t="s">
        <v>492</v>
      </c>
      <c r="R300" s="5">
        <v>0</v>
      </c>
      <c r="S300" s="149">
        <v>0</v>
      </c>
      <c r="T300" s="149">
        <v>0</v>
      </c>
      <c r="U300" s="150">
        <v>0</v>
      </c>
      <c r="V300" s="5" t="e">
        <v>#REF!</v>
      </c>
      <c r="W300" s="5" t="e">
        <v>#REF!</v>
      </c>
      <c r="X300" s="5"/>
      <c r="Y300" s="5"/>
      <c r="Z300" s="5"/>
      <c r="AA300" s="5"/>
      <c r="AB300" s="5"/>
      <c r="AC300" s="5"/>
      <c r="AD300" s="5"/>
      <c r="AE300" s="5"/>
      <c r="AF300" s="5"/>
      <c r="AG300" s="5"/>
      <c r="AH300" s="5"/>
      <c r="AI300" s="5"/>
      <c r="AJ300" s="5"/>
      <c r="AK300" s="5"/>
    </row>
    <row r="301" spans="1:37" ht="15" customHeight="1">
      <c r="A301" s="70" t="s">
        <v>492</v>
      </c>
      <c r="B301" s="70" t="s">
        <v>492</v>
      </c>
      <c r="C301" s="45"/>
      <c r="D301" s="55"/>
      <c r="E301" s="252">
        <v>0</v>
      </c>
      <c r="F301" s="29" t="s">
        <v>596</v>
      </c>
      <c r="G301" s="39"/>
      <c r="H301" s="39"/>
      <c r="I301" s="40"/>
      <c r="J301" s="47">
        <v>0</v>
      </c>
      <c r="K301" s="37">
        <v>0</v>
      </c>
      <c r="L301" s="43">
        <v>0</v>
      </c>
      <c r="M301" s="43">
        <v>0</v>
      </c>
      <c r="N301" s="49">
        <v>0</v>
      </c>
      <c r="O301" s="137">
        <v>0</v>
      </c>
      <c r="P301" s="137" t="s">
        <v>492</v>
      </c>
      <c r="Q301" s="182" t="s">
        <v>492</v>
      </c>
      <c r="R301" s="5">
        <v>0</v>
      </c>
      <c r="S301" s="149">
        <v>0</v>
      </c>
      <c r="T301" s="149">
        <v>0</v>
      </c>
      <c r="U301" s="150">
        <v>0</v>
      </c>
      <c r="V301" s="5" t="e">
        <v>#REF!</v>
      </c>
      <c r="W301" s="5" t="e">
        <v>#REF!</v>
      </c>
      <c r="X301" s="5"/>
      <c r="Y301" s="5"/>
      <c r="Z301" s="5"/>
      <c r="AA301" s="5"/>
      <c r="AB301" s="5"/>
      <c r="AC301" s="5"/>
      <c r="AD301" s="5"/>
      <c r="AE301" s="5"/>
      <c r="AF301" s="5"/>
      <c r="AG301" s="5"/>
      <c r="AH301" s="5"/>
      <c r="AI301" s="5"/>
      <c r="AJ301" s="5"/>
      <c r="AK301" s="5"/>
    </row>
    <row r="302" spans="1:37" ht="15" customHeight="1">
      <c r="A302" s="70" t="s">
        <v>492</v>
      </c>
      <c r="B302" s="70" t="s">
        <v>492</v>
      </c>
      <c r="C302" s="45"/>
      <c r="D302" s="59"/>
      <c r="E302" s="252">
        <v>0</v>
      </c>
      <c r="F302" s="60" t="s">
        <v>596</v>
      </c>
      <c r="G302" s="61"/>
      <c r="H302" s="61"/>
      <c r="I302" s="62"/>
      <c r="J302" s="63">
        <v>0</v>
      </c>
      <c r="K302" s="64">
        <v>0</v>
      </c>
      <c r="L302" s="43">
        <v>0</v>
      </c>
      <c r="M302" s="43">
        <v>0</v>
      </c>
      <c r="N302" s="65">
        <v>0</v>
      </c>
      <c r="O302" s="137">
        <v>0</v>
      </c>
      <c r="P302" s="137" t="s">
        <v>492</v>
      </c>
      <c r="Q302" s="182" t="s">
        <v>492</v>
      </c>
      <c r="R302" s="5">
        <v>0</v>
      </c>
      <c r="S302" s="149">
        <v>0</v>
      </c>
      <c r="T302" s="149">
        <v>0</v>
      </c>
      <c r="U302" s="150">
        <v>0</v>
      </c>
      <c r="V302" s="5" t="e">
        <v>#REF!</v>
      </c>
      <c r="W302" s="5" t="e">
        <v>#REF!</v>
      </c>
      <c r="X302" s="5"/>
      <c r="Y302" s="5"/>
      <c r="Z302" s="5"/>
      <c r="AA302" s="5"/>
      <c r="AB302" s="5"/>
      <c r="AC302" s="5"/>
      <c r="AD302" s="5"/>
      <c r="AE302" s="5"/>
      <c r="AF302" s="5"/>
      <c r="AG302" s="5"/>
      <c r="AH302" s="5"/>
      <c r="AI302" s="5"/>
      <c r="AJ302" s="5"/>
      <c r="AK302" s="5"/>
    </row>
    <row r="303" spans="1:23" ht="15" customHeight="1">
      <c r="A303" s="70" t="s">
        <v>492</v>
      </c>
      <c r="B303" s="70" t="s">
        <v>492</v>
      </c>
      <c r="C303" s="45"/>
      <c r="D303" s="55"/>
      <c r="E303" s="252">
        <v>0</v>
      </c>
      <c r="F303" s="29" t="s">
        <v>596</v>
      </c>
      <c r="G303" s="39"/>
      <c r="H303" s="39"/>
      <c r="I303" s="40"/>
      <c r="J303" s="47">
        <v>0</v>
      </c>
      <c r="K303" s="37">
        <v>0</v>
      </c>
      <c r="L303" s="43">
        <v>0</v>
      </c>
      <c r="M303" s="43">
        <v>0</v>
      </c>
      <c r="N303" s="37">
        <v>0</v>
      </c>
      <c r="O303" s="137">
        <v>0</v>
      </c>
      <c r="P303" s="137" t="s">
        <v>492</v>
      </c>
      <c r="Q303" s="182" t="s">
        <v>492</v>
      </c>
      <c r="R303" s="5">
        <v>0</v>
      </c>
      <c r="S303" s="149">
        <v>0</v>
      </c>
      <c r="T303" s="149">
        <v>0</v>
      </c>
      <c r="U303" s="150">
        <v>0</v>
      </c>
      <c r="V303" t="e">
        <v>#REF!</v>
      </c>
      <c r="W303" s="5" t="e">
        <v>#REF!</v>
      </c>
    </row>
    <row r="304" spans="1:23" ht="15" customHeight="1">
      <c r="A304" s="70" t="s">
        <v>492</v>
      </c>
      <c r="B304" s="70" t="s">
        <v>492</v>
      </c>
      <c r="C304" s="45"/>
      <c r="D304" s="55"/>
      <c r="E304" s="252">
        <v>0</v>
      </c>
      <c r="F304" s="29" t="s">
        <v>596</v>
      </c>
      <c r="G304" s="39"/>
      <c r="H304" s="39"/>
      <c r="I304" s="40"/>
      <c r="J304" s="47">
        <v>0</v>
      </c>
      <c r="K304" s="37">
        <v>0</v>
      </c>
      <c r="L304" s="43">
        <v>0</v>
      </c>
      <c r="M304" s="43">
        <v>0</v>
      </c>
      <c r="N304" s="37">
        <v>0</v>
      </c>
      <c r="O304" s="137">
        <v>0</v>
      </c>
      <c r="P304" s="137" t="s">
        <v>492</v>
      </c>
      <c r="Q304" s="182" t="s">
        <v>492</v>
      </c>
      <c r="R304" s="5">
        <v>0</v>
      </c>
      <c r="S304" s="149">
        <v>0</v>
      </c>
      <c r="T304" s="149">
        <v>0</v>
      </c>
      <c r="U304" s="150">
        <v>0</v>
      </c>
      <c r="V304" t="e">
        <v>#REF!</v>
      </c>
      <c r="W304" s="5" t="e">
        <v>#REF!</v>
      </c>
    </row>
    <row r="305" spans="1:23" ht="15" customHeight="1">
      <c r="A305" s="70" t="s">
        <v>492</v>
      </c>
      <c r="B305" s="70" t="s">
        <v>492</v>
      </c>
      <c r="C305" s="45"/>
      <c r="D305" s="55"/>
      <c r="E305" s="252">
        <v>0</v>
      </c>
      <c r="F305" s="29" t="s">
        <v>596</v>
      </c>
      <c r="G305" s="39"/>
      <c r="H305" s="39"/>
      <c r="I305" s="40"/>
      <c r="J305" s="47">
        <v>0</v>
      </c>
      <c r="K305" s="37">
        <v>0</v>
      </c>
      <c r="L305" s="43">
        <v>0</v>
      </c>
      <c r="M305" s="43">
        <v>0</v>
      </c>
      <c r="N305" s="37">
        <v>0</v>
      </c>
      <c r="O305" s="137">
        <v>0</v>
      </c>
      <c r="P305" s="137" t="s">
        <v>492</v>
      </c>
      <c r="Q305" s="182" t="s">
        <v>492</v>
      </c>
      <c r="R305" s="5">
        <v>0</v>
      </c>
      <c r="S305" s="149">
        <v>0</v>
      </c>
      <c r="T305" s="149">
        <v>0</v>
      </c>
      <c r="U305" s="150">
        <v>0</v>
      </c>
      <c r="V305" t="e">
        <v>#REF!</v>
      </c>
      <c r="W305" s="5" t="e">
        <v>#REF!</v>
      </c>
    </row>
    <row r="306" spans="1:23" ht="15" customHeight="1">
      <c r="A306" s="70" t="s">
        <v>492</v>
      </c>
      <c r="B306" s="70" t="s">
        <v>492</v>
      </c>
      <c r="C306" s="45"/>
      <c r="D306" s="55"/>
      <c r="E306" s="252">
        <v>0</v>
      </c>
      <c r="F306" s="29" t="s">
        <v>596</v>
      </c>
      <c r="G306" s="39"/>
      <c r="H306" s="39"/>
      <c r="I306" s="40"/>
      <c r="J306" s="47">
        <v>0</v>
      </c>
      <c r="K306" s="37">
        <v>0</v>
      </c>
      <c r="L306" s="43">
        <v>0</v>
      </c>
      <c r="M306" s="43">
        <v>0</v>
      </c>
      <c r="N306" s="37">
        <v>0</v>
      </c>
      <c r="O306" s="137">
        <v>0</v>
      </c>
      <c r="P306" s="137" t="s">
        <v>492</v>
      </c>
      <c r="Q306" s="182" t="s">
        <v>492</v>
      </c>
      <c r="R306" s="5">
        <v>0</v>
      </c>
      <c r="S306" s="149">
        <v>0</v>
      </c>
      <c r="T306" s="149">
        <v>0</v>
      </c>
      <c r="U306" s="150">
        <v>0</v>
      </c>
      <c r="V306" t="e">
        <v>#REF!</v>
      </c>
      <c r="W306" s="5" t="e">
        <v>#REF!</v>
      </c>
    </row>
    <row r="307" spans="1:23" ht="15" customHeight="1">
      <c r="A307" s="70" t="s">
        <v>492</v>
      </c>
      <c r="B307" s="70" t="s">
        <v>492</v>
      </c>
      <c r="C307" s="45"/>
      <c r="D307" s="55"/>
      <c r="E307" s="252">
        <v>0</v>
      </c>
      <c r="F307" s="29" t="s">
        <v>596</v>
      </c>
      <c r="G307" s="39"/>
      <c r="H307" s="39"/>
      <c r="I307" s="40"/>
      <c r="J307" s="47">
        <v>0</v>
      </c>
      <c r="K307" s="37">
        <v>0</v>
      </c>
      <c r="L307" s="43">
        <v>0</v>
      </c>
      <c r="M307" s="43">
        <v>0</v>
      </c>
      <c r="N307" s="37">
        <v>0</v>
      </c>
      <c r="O307" s="137">
        <v>0</v>
      </c>
      <c r="P307" s="137" t="s">
        <v>492</v>
      </c>
      <c r="Q307" s="182" t="s">
        <v>492</v>
      </c>
      <c r="R307" s="5">
        <v>0</v>
      </c>
      <c r="S307" s="149">
        <v>0</v>
      </c>
      <c r="T307" s="149">
        <v>0</v>
      </c>
      <c r="U307" s="150">
        <v>0</v>
      </c>
      <c r="V307" t="e">
        <v>#REF!</v>
      </c>
      <c r="W307" s="5" t="e">
        <v>#REF!</v>
      </c>
    </row>
    <row r="308" spans="1:23" ht="15" customHeight="1">
      <c r="A308" s="70" t="s">
        <v>492</v>
      </c>
      <c r="B308" s="70" t="s">
        <v>492</v>
      </c>
      <c r="C308" s="45"/>
      <c r="D308" s="55"/>
      <c r="E308" s="252">
        <v>0</v>
      </c>
      <c r="F308" s="29" t="s">
        <v>596</v>
      </c>
      <c r="G308" s="39"/>
      <c r="H308" s="39"/>
      <c r="I308" s="40"/>
      <c r="J308" s="47">
        <v>0</v>
      </c>
      <c r="K308" s="37">
        <v>0</v>
      </c>
      <c r="L308" s="43">
        <v>0</v>
      </c>
      <c r="M308" s="43">
        <v>0</v>
      </c>
      <c r="N308" s="37">
        <v>0</v>
      </c>
      <c r="O308" s="137">
        <v>0</v>
      </c>
      <c r="P308" s="137" t="s">
        <v>492</v>
      </c>
      <c r="Q308" s="182" t="s">
        <v>492</v>
      </c>
      <c r="R308" s="5">
        <v>0</v>
      </c>
      <c r="S308" s="149">
        <v>0</v>
      </c>
      <c r="T308" s="149">
        <v>0</v>
      </c>
      <c r="U308" s="150">
        <v>0</v>
      </c>
      <c r="V308" t="e">
        <v>#REF!</v>
      </c>
      <c r="W308" s="5" t="e">
        <v>#REF!</v>
      </c>
    </row>
    <row r="309" spans="1:23" ht="15" customHeight="1">
      <c r="A309" s="70" t="s">
        <v>492</v>
      </c>
      <c r="B309" s="70" t="s">
        <v>492</v>
      </c>
      <c r="C309" s="45"/>
      <c r="D309" s="55"/>
      <c r="E309" s="252">
        <v>0</v>
      </c>
      <c r="F309" s="29" t="s">
        <v>596</v>
      </c>
      <c r="G309" s="39"/>
      <c r="H309" s="39"/>
      <c r="I309" s="40"/>
      <c r="J309" s="47">
        <v>0</v>
      </c>
      <c r="K309" s="37">
        <v>0</v>
      </c>
      <c r="L309" s="43">
        <v>0</v>
      </c>
      <c r="M309" s="43">
        <v>0</v>
      </c>
      <c r="N309" s="37">
        <v>0</v>
      </c>
      <c r="O309" s="137">
        <v>0</v>
      </c>
      <c r="P309" s="137" t="s">
        <v>492</v>
      </c>
      <c r="Q309" s="182" t="s">
        <v>492</v>
      </c>
      <c r="R309" s="5">
        <v>0</v>
      </c>
      <c r="S309" s="149">
        <v>0</v>
      </c>
      <c r="T309" s="149">
        <v>0</v>
      </c>
      <c r="U309" s="150">
        <v>0</v>
      </c>
      <c r="V309" t="e">
        <v>#REF!</v>
      </c>
      <c r="W309" s="5" t="e">
        <v>#REF!</v>
      </c>
    </row>
    <row r="310" spans="1:23" ht="15" customHeight="1">
      <c r="A310" s="70" t="s">
        <v>492</v>
      </c>
      <c r="B310" s="70" t="s">
        <v>492</v>
      </c>
      <c r="C310" s="45"/>
      <c r="D310" s="55"/>
      <c r="E310" s="252">
        <v>0</v>
      </c>
      <c r="F310" s="29" t="s">
        <v>596</v>
      </c>
      <c r="G310" s="39"/>
      <c r="H310" s="39"/>
      <c r="I310" s="40"/>
      <c r="J310" s="47">
        <v>0</v>
      </c>
      <c r="K310" s="37">
        <v>0</v>
      </c>
      <c r="L310" s="43">
        <v>0</v>
      </c>
      <c r="M310" s="43">
        <v>0</v>
      </c>
      <c r="N310" s="37">
        <v>0</v>
      </c>
      <c r="O310" s="137">
        <v>0</v>
      </c>
      <c r="P310" s="137" t="s">
        <v>492</v>
      </c>
      <c r="Q310" s="182" t="s">
        <v>492</v>
      </c>
      <c r="R310" s="5">
        <v>0</v>
      </c>
      <c r="S310" s="149">
        <v>0</v>
      </c>
      <c r="T310" s="149">
        <v>0</v>
      </c>
      <c r="U310" s="150">
        <v>0</v>
      </c>
      <c r="V310" t="e">
        <v>#REF!</v>
      </c>
      <c r="W310" s="5" t="e">
        <v>#REF!</v>
      </c>
    </row>
    <row r="311" spans="1:23" ht="15" customHeight="1">
      <c r="A311" s="70" t="s">
        <v>492</v>
      </c>
      <c r="B311" s="70" t="s">
        <v>492</v>
      </c>
      <c r="C311" s="45"/>
      <c r="D311" s="55"/>
      <c r="E311" s="252">
        <v>0</v>
      </c>
      <c r="F311" s="29" t="s">
        <v>596</v>
      </c>
      <c r="G311" s="39"/>
      <c r="H311" s="39"/>
      <c r="I311" s="40"/>
      <c r="J311" s="47">
        <v>0</v>
      </c>
      <c r="K311" s="37">
        <v>0</v>
      </c>
      <c r="L311" s="43">
        <v>0</v>
      </c>
      <c r="M311" s="43">
        <v>0</v>
      </c>
      <c r="N311" s="37">
        <v>0</v>
      </c>
      <c r="O311" s="137">
        <v>0</v>
      </c>
      <c r="P311" s="137" t="s">
        <v>492</v>
      </c>
      <c r="Q311" s="182" t="s">
        <v>492</v>
      </c>
      <c r="R311" s="5">
        <v>0</v>
      </c>
      <c r="S311" s="149">
        <v>0</v>
      </c>
      <c r="T311" s="149">
        <v>0</v>
      </c>
      <c r="U311" s="150">
        <v>0</v>
      </c>
      <c r="V311" t="e">
        <v>#REF!</v>
      </c>
      <c r="W311" s="5" t="e">
        <v>#REF!</v>
      </c>
    </row>
    <row r="312" spans="1:23" ht="15" customHeight="1">
      <c r="A312" s="70" t="s">
        <v>492</v>
      </c>
      <c r="B312" s="70" t="s">
        <v>492</v>
      </c>
      <c r="C312" s="45"/>
      <c r="D312" s="55"/>
      <c r="E312" s="252">
        <v>0</v>
      </c>
      <c r="F312" s="29" t="s">
        <v>596</v>
      </c>
      <c r="G312" s="39"/>
      <c r="H312" s="39"/>
      <c r="I312" s="40"/>
      <c r="J312" s="47">
        <v>0</v>
      </c>
      <c r="K312" s="37">
        <v>0</v>
      </c>
      <c r="L312" s="43">
        <v>0</v>
      </c>
      <c r="M312" s="43">
        <v>0</v>
      </c>
      <c r="N312" s="37">
        <v>0</v>
      </c>
      <c r="O312" s="137">
        <v>0</v>
      </c>
      <c r="P312" s="137" t="s">
        <v>492</v>
      </c>
      <c r="Q312" s="182" t="s">
        <v>492</v>
      </c>
      <c r="R312" s="5">
        <v>0</v>
      </c>
      <c r="S312" s="149">
        <v>0</v>
      </c>
      <c r="T312" s="149">
        <v>0</v>
      </c>
      <c r="U312" s="150">
        <v>0</v>
      </c>
      <c r="V312" t="e">
        <v>#REF!</v>
      </c>
      <c r="W312" s="5" t="e">
        <v>#REF!</v>
      </c>
    </row>
    <row r="313" spans="1:23" ht="15" customHeight="1">
      <c r="A313" s="70" t="s">
        <v>492</v>
      </c>
      <c r="B313" s="70" t="s">
        <v>492</v>
      </c>
      <c r="C313" s="45"/>
      <c r="D313" s="55"/>
      <c r="E313" s="252">
        <v>0</v>
      </c>
      <c r="F313" s="29" t="s">
        <v>596</v>
      </c>
      <c r="G313" s="39"/>
      <c r="H313" s="39"/>
      <c r="I313" s="40"/>
      <c r="J313" s="47">
        <v>0</v>
      </c>
      <c r="K313" s="37">
        <v>0</v>
      </c>
      <c r="L313" s="43">
        <v>0</v>
      </c>
      <c r="M313" s="43">
        <v>0</v>
      </c>
      <c r="N313" s="37">
        <v>0</v>
      </c>
      <c r="O313" s="137">
        <v>0</v>
      </c>
      <c r="P313" s="137" t="s">
        <v>492</v>
      </c>
      <c r="Q313" s="182" t="s">
        <v>492</v>
      </c>
      <c r="R313" s="5">
        <v>0</v>
      </c>
      <c r="S313" s="149">
        <v>0</v>
      </c>
      <c r="T313" s="149">
        <v>0</v>
      </c>
      <c r="U313" s="150">
        <v>0</v>
      </c>
      <c r="V313" t="e">
        <v>#REF!</v>
      </c>
      <c r="W313" s="5" t="e">
        <v>#REF!</v>
      </c>
    </row>
    <row r="314" spans="1:23" ht="15" customHeight="1">
      <c r="A314" s="70" t="s">
        <v>492</v>
      </c>
      <c r="B314" s="70" t="s">
        <v>492</v>
      </c>
      <c r="C314" s="45"/>
      <c r="D314" s="55"/>
      <c r="E314" s="252">
        <v>0</v>
      </c>
      <c r="F314" s="29" t="s">
        <v>596</v>
      </c>
      <c r="G314" s="39"/>
      <c r="H314" s="39"/>
      <c r="I314" s="40"/>
      <c r="J314" s="47">
        <v>0</v>
      </c>
      <c r="K314" s="37">
        <v>0</v>
      </c>
      <c r="L314" s="43">
        <v>0</v>
      </c>
      <c r="M314" s="43">
        <v>0</v>
      </c>
      <c r="N314" s="37">
        <v>0</v>
      </c>
      <c r="O314" s="137">
        <v>0</v>
      </c>
      <c r="P314" s="137" t="s">
        <v>492</v>
      </c>
      <c r="Q314" s="182" t="s">
        <v>492</v>
      </c>
      <c r="R314" s="5">
        <v>0</v>
      </c>
      <c r="S314" s="149">
        <v>0</v>
      </c>
      <c r="T314" s="149">
        <v>0</v>
      </c>
      <c r="U314" s="150">
        <v>0</v>
      </c>
      <c r="V314" t="e">
        <v>#REF!</v>
      </c>
      <c r="W314" s="5" t="e">
        <v>#REF!</v>
      </c>
    </row>
    <row r="315" spans="1:23" ht="15" customHeight="1">
      <c r="A315" s="70" t="s">
        <v>492</v>
      </c>
      <c r="B315" s="70" t="s">
        <v>492</v>
      </c>
      <c r="C315" s="45"/>
      <c r="D315" s="55"/>
      <c r="E315" s="252">
        <v>0</v>
      </c>
      <c r="F315" s="29" t="s">
        <v>596</v>
      </c>
      <c r="G315" s="39"/>
      <c r="H315" s="39"/>
      <c r="I315" s="40"/>
      <c r="J315" s="47">
        <v>0</v>
      </c>
      <c r="K315" s="37">
        <v>0</v>
      </c>
      <c r="L315" s="43">
        <v>0</v>
      </c>
      <c r="M315" s="43">
        <v>0</v>
      </c>
      <c r="N315" s="37">
        <v>0</v>
      </c>
      <c r="O315" s="137">
        <v>0</v>
      </c>
      <c r="P315" s="137" t="s">
        <v>492</v>
      </c>
      <c r="Q315" s="182" t="s">
        <v>492</v>
      </c>
      <c r="R315" s="5">
        <v>0</v>
      </c>
      <c r="S315" s="149">
        <v>0</v>
      </c>
      <c r="T315" s="149">
        <v>0</v>
      </c>
      <c r="U315" s="150">
        <v>0</v>
      </c>
      <c r="V315" t="e">
        <v>#REF!</v>
      </c>
      <c r="W315" s="5" t="e">
        <v>#REF!</v>
      </c>
    </row>
    <row r="316" spans="1:23" ht="15" customHeight="1">
      <c r="A316" s="70" t="s">
        <v>492</v>
      </c>
      <c r="B316" s="70" t="s">
        <v>492</v>
      </c>
      <c r="C316" s="45"/>
      <c r="D316" s="55"/>
      <c r="E316" s="252">
        <v>0</v>
      </c>
      <c r="F316" s="29" t="s">
        <v>596</v>
      </c>
      <c r="G316" s="39"/>
      <c r="H316" s="39"/>
      <c r="I316" s="40"/>
      <c r="J316" s="47">
        <v>0</v>
      </c>
      <c r="K316" s="37">
        <v>0</v>
      </c>
      <c r="L316" s="43">
        <v>0</v>
      </c>
      <c r="M316" s="43">
        <v>0</v>
      </c>
      <c r="N316" s="37">
        <v>0</v>
      </c>
      <c r="O316" s="137">
        <v>0</v>
      </c>
      <c r="P316" s="137" t="s">
        <v>492</v>
      </c>
      <c r="Q316" s="182" t="s">
        <v>492</v>
      </c>
      <c r="R316" s="5">
        <v>0</v>
      </c>
      <c r="S316" s="149">
        <v>0</v>
      </c>
      <c r="T316" s="149">
        <v>0</v>
      </c>
      <c r="U316" s="150">
        <v>0</v>
      </c>
      <c r="V316" t="e">
        <v>#REF!</v>
      </c>
      <c r="W316" s="5" t="e">
        <v>#REF!</v>
      </c>
    </row>
    <row r="317" spans="1:23" ht="15" customHeight="1">
      <c r="A317" s="70" t="s">
        <v>492</v>
      </c>
      <c r="B317" s="70" t="s">
        <v>492</v>
      </c>
      <c r="C317" s="45"/>
      <c r="D317" s="55"/>
      <c r="E317" s="252">
        <v>0</v>
      </c>
      <c r="F317" s="29" t="s">
        <v>596</v>
      </c>
      <c r="G317" s="39"/>
      <c r="H317" s="39"/>
      <c r="I317" s="40"/>
      <c r="J317" s="47">
        <v>0</v>
      </c>
      <c r="K317" s="37">
        <v>0</v>
      </c>
      <c r="L317" s="43">
        <v>0</v>
      </c>
      <c r="M317" s="43">
        <v>0</v>
      </c>
      <c r="N317" s="37">
        <v>0</v>
      </c>
      <c r="O317" s="137">
        <v>0</v>
      </c>
      <c r="P317" s="137" t="s">
        <v>492</v>
      </c>
      <c r="Q317" s="182" t="s">
        <v>492</v>
      </c>
      <c r="R317" s="5">
        <v>0</v>
      </c>
      <c r="S317" s="149">
        <v>0</v>
      </c>
      <c r="T317" s="149">
        <v>0</v>
      </c>
      <c r="U317" s="150">
        <v>0</v>
      </c>
      <c r="V317" t="e">
        <v>#REF!</v>
      </c>
      <c r="W317" s="5" t="e">
        <v>#REF!</v>
      </c>
    </row>
    <row r="318" spans="1:23" ht="15" customHeight="1">
      <c r="A318" s="70" t="s">
        <v>492</v>
      </c>
      <c r="B318" s="70" t="s">
        <v>492</v>
      </c>
      <c r="C318" s="45"/>
      <c r="D318" s="55"/>
      <c r="E318" s="252">
        <v>0</v>
      </c>
      <c r="F318" s="29" t="s">
        <v>596</v>
      </c>
      <c r="G318" s="39"/>
      <c r="H318" s="39"/>
      <c r="I318" s="40"/>
      <c r="J318" s="47">
        <v>0</v>
      </c>
      <c r="K318" s="37">
        <v>0</v>
      </c>
      <c r="L318" s="43">
        <v>0</v>
      </c>
      <c r="M318" s="43">
        <v>0</v>
      </c>
      <c r="N318" s="37">
        <v>0</v>
      </c>
      <c r="O318" s="137">
        <v>0</v>
      </c>
      <c r="P318" s="137" t="s">
        <v>492</v>
      </c>
      <c r="Q318" s="182" t="s">
        <v>492</v>
      </c>
      <c r="R318" s="5">
        <v>0</v>
      </c>
      <c r="S318" s="149">
        <v>0</v>
      </c>
      <c r="T318" s="149">
        <v>0</v>
      </c>
      <c r="U318" s="150">
        <v>0</v>
      </c>
      <c r="V318" t="e">
        <v>#REF!</v>
      </c>
      <c r="W318" s="5" t="e">
        <v>#REF!</v>
      </c>
    </row>
    <row r="319" spans="1:23" ht="15" customHeight="1">
      <c r="A319" s="70" t="s">
        <v>492</v>
      </c>
      <c r="B319" s="70" t="s">
        <v>492</v>
      </c>
      <c r="C319" s="45"/>
      <c r="D319" s="55"/>
      <c r="E319" s="252">
        <v>0</v>
      </c>
      <c r="F319" s="29" t="s">
        <v>596</v>
      </c>
      <c r="G319" s="39"/>
      <c r="H319" s="39"/>
      <c r="I319" s="40"/>
      <c r="J319" s="47">
        <v>0</v>
      </c>
      <c r="K319" s="37">
        <v>0</v>
      </c>
      <c r="L319" s="43">
        <v>0</v>
      </c>
      <c r="M319" s="43">
        <v>0</v>
      </c>
      <c r="N319" s="37">
        <v>0</v>
      </c>
      <c r="O319" s="137">
        <v>0</v>
      </c>
      <c r="P319" s="137" t="s">
        <v>492</v>
      </c>
      <c r="Q319" s="182" t="s">
        <v>492</v>
      </c>
      <c r="R319" s="5">
        <v>0</v>
      </c>
      <c r="S319" s="149">
        <v>0</v>
      </c>
      <c r="T319" s="149">
        <v>0</v>
      </c>
      <c r="U319" s="150">
        <v>0</v>
      </c>
      <c r="V319" t="e">
        <v>#REF!</v>
      </c>
      <c r="W319" s="5" t="e">
        <v>#REF!</v>
      </c>
    </row>
    <row r="320" spans="1:23" ht="15" customHeight="1">
      <c r="A320" s="70" t="s">
        <v>492</v>
      </c>
      <c r="B320" s="70" t="s">
        <v>492</v>
      </c>
      <c r="C320" s="45"/>
      <c r="D320" s="55"/>
      <c r="E320" s="252">
        <v>0</v>
      </c>
      <c r="F320" s="29" t="s">
        <v>596</v>
      </c>
      <c r="G320" s="39"/>
      <c r="H320" s="39"/>
      <c r="I320" s="40"/>
      <c r="J320" s="47">
        <v>0</v>
      </c>
      <c r="K320" s="37">
        <v>0</v>
      </c>
      <c r="L320" s="43">
        <v>0</v>
      </c>
      <c r="M320" s="43">
        <v>0</v>
      </c>
      <c r="N320" s="37">
        <v>0</v>
      </c>
      <c r="O320" s="137">
        <v>0</v>
      </c>
      <c r="P320" s="137" t="s">
        <v>492</v>
      </c>
      <c r="Q320" s="182" t="s">
        <v>492</v>
      </c>
      <c r="R320" s="5">
        <v>0</v>
      </c>
      <c r="S320" s="149">
        <v>0</v>
      </c>
      <c r="T320" s="149">
        <v>0</v>
      </c>
      <c r="U320" s="150">
        <v>0</v>
      </c>
      <c r="V320" t="e">
        <v>#REF!</v>
      </c>
      <c r="W320" s="5" t="e">
        <v>#REF!</v>
      </c>
    </row>
    <row r="321" spans="1:23" ht="15" customHeight="1">
      <c r="A321" s="70" t="s">
        <v>492</v>
      </c>
      <c r="B321" s="70" t="s">
        <v>492</v>
      </c>
      <c r="C321" s="45"/>
      <c r="D321" s="55"/>
      <c r="E321" s="252">
        <v>0</v>
      </c>
      <c r="F321" s="29" t="s">
        <v>596</v>
      </c>
      <c r="G321" s="39"/>
      <c r="H321" s="39"/>
      <c r="I321" s="40"/>
      <c r="J321" s="47">
        <v>0</v>
      </c>
      <c r="K321" s="37">
        <v>0</v>
      </c>
      <c r="L321" s="43">
        <v>0</v>
      </c>
      <c r="M321" s="43">
        <v>0</v>
      </c>
      <c r="N321" s="37">
        <v>0</v>
      </c>
      <c r="O321" s="137">
        <v>0</v>
      </c>
      <c r="P321" s="137" t="s">
        <v>492</v>
      </c>
      <c r="Q321" s="182" t="s">
        <v>492</v>
      </c>
      <c r="R321" s="5">
        <v>0</v>
      </c>
      <c r="S321" s="149">
        <v>0</v>
      </c>
      <c r="T321" s="149">
        <v>0</v>
      </c>
      <c r="U321" s="150">
        <v>0</v>
      </c>
      <c r="V321" t="e">
        <v>#REF!</v>
      </c>
      <c r="W321" s="5" t="e">
        <v>#REF!</v>
      </c>
    </row>
    <row r="322" spans="1:23" ht="15" customHeight="1">
      <c r="A322" s="70" t="s">
        <v>492</v>
      </c>
      <c r="B322" s="70" t="s">
        <v>492</v>
      </c>
      <c r="C322" s="45"/>
      <c r="D322" s="55"/>
      <c r="E322" s="252">
        <v>0</v>
      </c>
      <c r="F322" s="29" t="s">
        <v>596</v>
      </c>
      <c r="G322" s="39"/>
      <c r="H322" s="39"/>
      <c r="I322" s="40"/>
      <c r="J322" s="47">
        <v>0</v>
      </c>
      <c r="K322" s="37">
        <v>0</v>
      </c>
      <c r="L322" s="43">
        <v>0</v>
      </c>
      <c r="M322" s="43">
        <v>0</v>
      </c>
      <c r="N322" s="37">
        <v>0</v>
      </c>
      <c r="O322" s="137">
        <v>0</v>
      </c>
      <c r="P322" s="137" t="s">
        <v>492</v>
      </c>
      <c r="Q322" s="182" t="s">
        <v>492</v>
      </c>
      <c r="R322" s="5">
        <v>0</v>
      </c>
      <c r="S322" s="149">
        <v>0</v>
      </c>
      <c r="T322" s="149">
        <v>0</v>
      </c>
      <c r="U322" s="150">
        <v>0</v>
      </c>
      <c r="V322" t="e">
        <v>#REF!</v>
      </c>
      <c r="W322" s="5" t="e">
        <v>#REF!</v>
      </c>
    </row>
    <row r="323" spans="1:23" ht="15" customHeight="1">
      <c r="A323" s="70" t="s">
        <v>492</v>
      </c>
      <c r="B323" s="70" t="s">
        <v>492</v>
      </c>
      <c r="C323" s="45"/>
      <c r="D323" s="55"/>
      <c r="E323" s="252">
        <v>0</v>
      </c>
      <c r="F323" s="29" t="s">
        <v>596</v>
      </c>
      <c r="G323" s="39"/>
      <c r="H323" s="39"/>
      <c r="I323" s="40"/>
      <c r="J323" s="47">
        <v>0</v>
      </c>
      <c r="K323" s="37">
        <v>0</v>
      </c>
      <c r="L323" s="43">
        <v>0</v>
      </c>
      <c r="M323" s="43">
        <v>0</v>
      </c>
      <c r="N323" s="37">
        <v>0</v>
      </c>
      <c r="O323" s="137">
        <v>0</v>
      </c>
      <c r="P323" s="137" t="s">
        <v>492</v>
      </c>
      <c r="Q323" s="182" t="s">
        <v>492</v>
      </c>
      <c r="R323" s="5">
        <v>0</v>
      </c>
      <c r="S323" s="149">
        <v>0</v>
      </c>
      <c r="T323" s="149">
        <v>0</v>
      </c>
      <c r="U323" s="150">
        <v>0</v>
      </c>
      <c r="V323" t="e">
        <v>#REF!</v>
      </c>
      <c r="W323" s="5" t="e">
        <v>#REF!</v>
      </c>
    </row>
    <row r="324" spans="1:23" ht="15" customHeight="1">
      <c r="A324" s="70" t="s">
        <v>492</v>
      </c>
      <c r="B324" s="70" t="s">
        <v>492</v>
      </c>
      <c r="C324" s="45"/>
      <c r="D324" s="55"/>
      <c r="E324" s="252">
        <v>0</v>
      </c>
      <c r="F324" s="29" t="s">
        <v>596</v>
      </c>
      <c r="G324" s="39"/>
      <c r="H324" s="39"/>
      <c r="I324" s="40"/>
      <c r="J324" s="47">
        <v>0</v>
      </c>
      <c r="K324" s="37">
        <v>0</v>
      </c>
      <c r="L324" s="43">
        <v>0</v>
      </c>
      <c r="M324" s="43">
        <v>0</v>
      </c>
      <c r="N324" s="37">
        <v>0</v>
      </c>
      <c r="O324" s="137">
        <v>0</v>
      </c>
      <c r="P324" s="137" t="s">
        <v>492</v>
      </c>
      <c r="Q324" s="182" t="s">
        <v>492</v>
      </c>
      <c r="R324" s="5">
        <v>0</v>
      </c>
      <c r="S324" s="149">
        <v>0</v>
      </c>
      <c r="T324" s="149">
        <v>0</v>
      </c>
      <c r="U324" s="150">
        <v>0</v>
      </c>
      <c r="V324" t="e">
        <v>#REF!</v>
      </c>
      <c r="W324" s="5" t="e">
        <v>#REF!</v>
      </c>
    </row>
    <row r="325" spans="1:23" ht="15" customHeight="1">
      <c r="A325" s="70" t="s">
        <v>492</v>
      </c>
      <c r="B325" s="70" t="s">
        <v>492</v>
      </c>
      <c r="C325" s="45"/>
      <c r="D325" s="55"/>
      <c r="E325" s="252">
        <v>0</v>
      </c>
      <c r="F325" s="29" t="s">
        <v>596</v>
      </c>
      <c r="G325" s="39"/>
      <c r="H325" s="39"/>
      <c r="I325" s="40"/>
      <c r="J325" s="47">
        <v>0</v>
      </c>
      <c r="K325" s="37">
        <v>0</v>
      </c>
      <c r="L325" s="43">
        <v>0</v>
      </c>
      <c r="M325" s="43">
        <v>0</v>
      </c>
      <c r="N325" s="37">
        <v>0</v>
      </c>
      <c r="O325" s="137">
        <v>0</v>
      </c>
      <c r="P325" s="137" t="s">
        <v>492</v>
      </c>
      <c r="Q325" s="182" t="s">
        <v>492</v>
      </c>
      <c r="R325" s="5">
        <v>0</v>
      </c>
      <c r="S325" s="149">
        <v>0</v>
      </c>
      <c r="T325" s="149">
        <v>0</v>
      </c>
      <c r="U325" s="150">
        <v>0</v>
      </c>
      <c r="V325" t="e">
        <v>#REF!</v>
      </c>
      <c r="W325" s="5" t="e">
        <v>#REF!</v>
      </c>
    </row>
    <row r="326" spans="1:23" ht="15" customHeight="1">
      <c r="A326" s="70" t="s">
        <v>492</v>
      </c>
      <c r="B326" s="70" t="s">
        <v>492</v>
      </c>
      <c r="C326" s="45"/>
      <c r="D326" s="55"/>
      <c r="E326" s="252">
        <v>0</v>
      </c>
      <c r="F326" s="29" t="s">
        <v>596</v>
      </c>
      <c r="G326" s="39"/>
      <c r="H326" s="39"/>
      <c r="I326" s="40"/>
      <c r="J326" s="47">
        <v>0</v>
      </c>
      <c r="K326" s="37">
        <v>0</v>
      </c>
      <c r="L326" s="43">
        <v>0</v>
      </c>
      <c r="M326" s="43">
        <v>0</v>
      </c>
      <c r="N326" s="37">
        <v>0</v>
      </c>
      <c r="O326" s="137">
        <v>0</v>
      </c>
      <c r="P326" s="137" t="s">
        <v>492</v>
      </c>
      <c r="Q326" s="182" t="s">
        <v>492</v>
      </c>
      <c r="R326" s="5">
        <v>0</v>
      </c>
      <c r="S326" s="149">
        <v>0</v>
      </c>
      <c r="T326" s="149">
        <v>0</v>
      </c>
      <c r="U326" s="150">
        <v>0</v>
      </c>
      <c r="V326" t="e">
        <v>#REF!</v>
      </c>
      <c r="W326" s="5" t="e">
        <v>#REF!</v>
      </c>
    </row>
    <row r="327" spans="1:23" ht="15" customHeight="1">
      <c r="A327" s="70" t="s">
        <v>492</v>
      </c>
      <c r="B327" s="70" t="s">
        <v>492</v>
      </c>
      <c r="C327" s="45"/>
      <c r="D327" s="55"/>
      <c r="E327" s="252">
        <v>0</v>
      </c>
      <c r="F327" s="29" t="s">
        <v>596</v>
      </c>
      <c r="G327" s="39"/>
      <c r="H327" s="39"/>
      <c r="I327" s="40"/>
      <c r="J327" s="47">
        <v>0</v>
      </c>
      <c r="K327" s="37">
        <v>0</v>
      </c>
      <c r="L327" s="43">
        <v>0</v>
      </c>
      <c r="M327" s="43">
        <v>0</v>
      </c>
      <c r="N327" s="37">
        <v>0</v>
      </c>
      <c r="O327" s="137">
        <v>0</v>
      </c>
      <c r="P327" s="137" t="s">
        <v>492</v>
      </c>
      <c r="Q327" s="182" t="s">
        <v>492</v>
      </c>
      <c r="R327" s="5">
        <v>0</v>
      </c>
      <c r="S327" s="149">
        <v>0</v>
      </c>
      <c r="T327" s="149">
        <v>0</v>
      </c>
      <c r="U327" s="150">
        <v>0</v>
      </c>
      <c r="V327" t="e">
        <v>#REF!</v>
      </c>
      <c r="W327" s="5" t="e">
        <v>#REF!</v>
      </c>
    </row>
    <row r="328" spans="1:23" ht="15" customHeight="1">
      <c r="A328" s="70" t="s">
        <v>492</v>
      </c>
      <c r="B328" s="70" t="s">
        <v>492</v>
      </c>
      <c r="C328" s="45"/>
      <c r="D328" s="55"/>
      <c r="E328" s="252">
        <v>0</v>
      </c>
      <c r="F328" s="29" t="s">
        <v>596</v>
      </c>
      <c r="G328" s="39"/>
      <c r="H328" s="39"/>
      <c r="I328" s="40"/>
      <c r="J328" s="47">
        <v>0</v>
      </c>
      <c r="K328" s="37">
        <v>0</v>
      </c>
      <c r="L328" s="43">
        <v>0</v>
      </c>
      <c r="M328" s="43">
        <v>0</v>
      </c>
      <c r="N328" s="37">
        <v>0</v>
      </c>
      <c r="O328" s="137">
        <v>0</v>
      </c>
      <c r="P328" s="137" t="s">
        <v>492</v>
      </c>
      <c r="Q328" s="182" t="s">
        <v>492</v>
      </c>
      <c r="R328" s="5">
        <v>0</v>
      </c>
      <c r="S328" s="149">
        <v>0</v>
      </c>
      <c r="T328" s="149">
        <v>0</v>
      </c>
      <c r="U328" s="150">
        <v>0</v>
      </c>
      <c r="V328" t="e">
        <v>#REF!</v>
      </c>
      <c r="W328" s="5" t="e">
        <v>#REF!</v>
      </c>
    </row>
    <row r="329" spans="1:23" ht="15" customHeight="1">
      <c r="A329" s="70" t="s">
        <v>492</v>
      </c>
      <c r="B329" s="70" t="s">
        <v>492</v>
      </c>
      <c r="C329" s="45"/>
      <c r="D329" s="55"/>
      <c r="E329" s="252">
        <v>0</v>
      </c>
      <c r="F329" s="29" t="s">
        <v>596</v>
      </c>
      <c r="G329" s="39"/>
      <c r="H329" s="39"/>
      <c r="I329" s="40"/>
      <c r="J329" s="47">
        <v>0</v>
      </c>
      <c r="K329" s="37">
        <v>0</v>
      </c>
      <c r="L329" s="43">
        <v>0</v>
      </c>
      <c r="M329" s="43">
        <v>0</v>
      </c>
      <c r="N329" s="37">
        <v>0</v>
      </c>
      <c r="O329" s="137">
        <v>0</v>
      </c>
      <c r="P329" s="137" t="s">
        <v>492</v>
      </c>
      <c r="Q329" s="182" t="s">
        <v>492</v>
      </c>
      <c r="R329" s="5">
        <v>0</v>
      </c>
      <c r="S329" s="149">
        <v>0</v>
      </c>
      <c r="T329" s="149">
        <v>0</v>
      </c>
      <c r="U329" s="150">
        <v>0</v>
      </c>
      <c r="V329" t="e">
        <v>#REF!</v>
      </c>
      <c r="W329" s="5" t="e">
        <v>#REF!</v>
      </c>
    </row>
    <row r="330" spans="1:23" ht="15" customHeight="1">
      <c r="A330" s="70" t="s">
        <v>492</v>
      </c>
      <c r="B330" s="70" t="s">
        <v>492</v>
      </c>
      <c r="C330" s="45"/>
      <c r="D330" s="55"/>
      <c r="E330" s="252">
        <v>0</v>
      </c>
      <c r="F330" s="29" t="s">
        <v>596</v>
      </c>
      <c r="G330" s="39"/>
      <c r="H330" s="39"/>
      <c r="I330" s="40"/>
      <c r="J330" s="47">
        <v>0</v>
      </c>
      <c r="K330" s="37">
        <v>0</v>
      </c>
      <c r="L330" s="43">
        <v>0</v>
      </c>
      <c r="M330" s="43">
        <v>0</v>
      </c>
      <c r="N330" s="37">
        <v>0</v>
      </c>
      <c r="O330" s="137">
        <v>0</v>
      </c>
      <c r="P330" s="137" t="s">
        <v>492</v>
      </c>
      <c r="Q330" s="182" t="s">
        <v>492</v>
      </c>
      <c r="R330" s="5">
        <v>0</v>
      </c>
      <c r="S330" s="149">
        <v>0</v>
      </c>
      <c r="T330" s="149">
        <v>0</v>
      </c>
      <c r="U330" s="150">
        <v>0</v>
      </c>
      <c r="V330" t="e">
        <v>#REF!</v>
      </c>
      <c r="W330" s="5" t="e">
        <v>#REF!</v>
      </c>
    </row>
    <row r="331" spans="1:23" ht="15" customHeight="1">
      <c r="A331" s="70" t="s">
        <v>492</v>
      </c>
      <c r="B331" s="70" t="s">
        <v>492</v>
      </c>
      <c r="C331" s="45"/>
      <c r="D331" s="55"/>
      <c r="E331" s="252">
        <v>0</v>
      </c>
      <c r="F331" s="29" t="s">
        <v>596</v>
      </c>
      <c r="G331" s="39"/>
      <c r="H331" s="39"/>
      <c r="I331" s="40"/>
      <c r="J331" s="47">
        <v>0</v>
      </c>
      <c r="K331" s="37">
        <v>0</v>
      </c>
      <c r="L331" s="43">
        <v>0</v>
      </c>
      <c r="M331" s="43">
        <v>0</v>
      </c>
      <c r="N331" s="37">
        <v>0</v>
      </c>
      <c r="O331" s="137">
        <v>0</v>
      </c>
      <c r="P331" s="137" t="s">
        <v>492</v>
      </c>
      <c r="Q331" s="182" t="s">
        <v>492</v>
      </c>
      <c r="R331" s="5">
        <v>0</v>
      </c>
      <c r="S331" s="149">
        <v>0</v>
      </c>
      <c r="T331" s="149">
        <v>0</v>
      </c>
      <c r="U331" s="150">
        <v>0</v>
      </c>
      <c r="V331" t="e">
        <v>#REF!</v>
      </c>
      <c r="W331" s="5" t="e">
        <v>#REF!</v>
      </c>
    </row>
    <row r="332" spans="1:23" ht="15" customHeight="1">
      <c r="A332" s="70" t="s">
        <v>492</v>
      </c>
      <c r="B332" s="70" t="s">
        <v>492</v>
      </c>
      <c r="C332" s="45"/>
      <c r="D332" s="55"/>
      <c r="E332" s="252">
        <v>0</v>
      </c>
      <c r="F332" s="29" t="s">
        <v>596</v>
      </c>
      <c r="G332" s="39"/>
      <c r="H332" s="39"/>
      <c r="I332" s="40"/>
      <c r="J332" s="47">
        <v>0</v>
      </c>
      <c r="K332" s="37">
        <v>0</v>
      </c>
      <c r="L332" s="43">
        <v>0</v>
      </c>
      <c r="M332" s="43">
        <v>0</v>
      </c>
      <c r="N332" s="37">
        <v>0</v>
      </c>
      <c r="O332" s="137">
        <v>0</v>
      </c>
      <c r="P332" s="137" t="s">
        <v>492</v>
      </c>
      <c r="Q332" s="182" t="s">
        <v>492</v>
      </c>
      <c r="R332" s="5">
        <v>0</v>
      </c>
      <c r="S332" s="149">
        <v>0</v>
      </c>
      <c r="T332" s="149">
        <v>0</v>
      </c>
      <c r="U332" s="150">
        <v>0</v>
      </c>
      <c r="V332" t="e">
        <v>#REF!</v>
      </c>
      <c r="W332" s="5" t="e">
        <v>#REF!</v>
      </c>
    </row>
    <row r="333" spans="1:23" ht="15" customHeight="1">
      <c r="A333" s="70" t="s">
        <v>492</v>
      </c>
      <c r="B333" s="70" t="s">
        <v>492</v>
      </c>
      <c r="C333" s="45"/>
      <c r="D333" s="55"/>
      <c r="E333" s="252">
        <v>0</v>
      </c>
      <c r="F333" s="29" t="s">
        <v>596</v>
      </c>
      <c r="G333" s="39"/>
      <c r="H333" s="39"/>
      <c r="I333" s="40"/>
      <c r="J333" s="47">
        <v>0</v>
      </c>
      <c r="K333" s="37">
        <v>0</v>
      </c>
      <c r="L333" s="43">
        <v>0</v>
      </c>
      <c r="M333" s="43">
        <v>0</v>
      </c>
      <c r="N333" s="37">
        <v>0</v>
      </c>
      <c r="O333" s="137">
        <v>0</v>
      </c>
      <c r="P333" s="137" t="s">
        <v>492</v>
      </c>
      <c r="Q333" s="182" t="s">
        <v>492</v>
      </c>
      <c r="R333" s="5">
        <v>0</v>
      </c>
      <c r="S333" s="149">
        <v>0</v>
      </c>
      <c r="T333" s="149">
        <v>0</v>
      </c>
      <c r="U333" s="150">
        <v>0</v>
      </c>
      <c r="V333" t="e">
        <v>#REF!</v>
      </c>
      <c r="W333" s="5" t="e">
        <v>#REF!</v>
      </c>
    </row>
    <row r="334" spans="1:23" ht="15" customHeight="1">
      <c r="A334" s="70" t="s">
        <v>492</v>
      </c>
      <c r="B334" s="70" t="s">
        <v>492</v>
      </c>
      <c r="C334" s="45"/>
      <c r="D334" s="55"/>
      <c r="E334" s="252">
        <v>0</v>
      </c>
      <c r="F334" s="29" t="s">
        <v>596</v>
      </c>
      <c r="G334" s="39"/>
      <c r="H334" s="39"/>
      <c r="I334" s="40"/>
      <c r="J334" s="47">
        <v>0</v>
      </c>
      <c r="K334" s="37">
        <v>0</v>
      </c>
      <c r="L334" s="43">
        <v>0</v>
      </c>
      <c r="M334" s="43">
        <v>0</v>
      </c>
      <c r="N334" s="37">
        <v>0</v>
      </c>
      <c r="O334" s="137">
        <v>0</v>
      </c>
      <c r="P334" s="137" t="s">
        <v>492</v>
      </c>
      <c r="Q334" s="182" t="s">
        <v>492</v>
      </c>
      <c r="R334" s="5">
        <v>0</v>
      </c>
      <c r="S334" s="149">
        <v>0</v>
      </c>
      <c r="T334" s="149">
        <v>0</v>
      </c>
      <c r="U334" s="150">
        <v>0</v>
      </c>
      <c r="V334" t="e">
        <v>#REF!</v>
      </c>
      <c r="W334" s="5" t="e">
        <v>#REF!</v>
      </c>
    </row>
    <row r="335" spans="1:23" ht="15" customHeight="1">
      <c r="A335" s="70" t="s">
        <v>492</v>
      </c>
      <c r="B335" s="70" t="s">
        <v>492</v>
      </c>
      <c r="C335" s="45"/>
      <c r="D335" s="55"/>
      <c r="E335" s="252">
        <v>0</v>
      </c>
      <c r="F335" s="29" t="s">
        <v>596</v>
      </c>
      <c r="G335" s="39"/>
      <c r="H335" s="39"/>
      <c r="I335" s="40"/>
      <c r="J335" s="47">
        <v>0</v>
      </c>
      <c r="K335" s="37">
        <v>0</v>
      </c>
      <c r="L335" s="43">
        <v>0</v>
      </c>
      <c r="M335" s="43">
        <v>0</v>
      </c>
      <c r="N335" s="37">
        <v>0</v>
      </c>
      <c r="O335" s="137">
        <v>0</v>
      </c>
      <c r="P335" s="137" t="s">
        <v>492</v>
      </c>
      <c r="Q335" s="182" t="s">
        <v>492</v>
      </c>
      <c r="R335" s="5">
        <v>0</v>
      </c>
      <c r="S335" s="149">
        <v>0</v>
      </c>
      <c r="T335" s="149">
        <v>0</v>
      </c>
      <c r="U335" s="150">
        <v>0</v>
      </c>
      <c r="V335" t="e">
        <v>#REF!</v>
      </c>
      <c r="W335" s="5" t="e">
        <v>#REF!</v>
      </c>
    </row>
    <row r="336" spans="1:23" ht="15" customHeight="1">
      <c r="A336" s="70" t="s">
        <v>492</v>
      </c>
      <c r="B336" s="70" t="s">
        <v>492</v>
      </c>
      <c r="C336" s="45"/>
      <c r="D336" s="55"/>
      <c r="E336" s="252">
        <v>0</v>
      </c>
      <c r="F336" s="29" t="s">
        <v>596</v>
      </c>
      <c r="G336" s="39"/>
      <c r="H336" s="39"/>
      <c r="I336" s="40"/>
      <c r="J336" s="47">
        <v>0</v>
      </c>
      <c r="K336" s="37">
        <v>0</v>
      </c>
      <c r="L336" s="43">
        <v>0</v>
      </c>
      <c r="M336" s="43">
        <v>0</v>
      </c>
      <c r="N336" s="37">
        <v>0</v>
      </c>
      <c r="O336" s="137">
        <v>0</v>
      </c>
      <c r="P336" s="137" t="s">
        <v>492</v>
      </c>
      <c r="Q336" s="182" t="s">
        <v>492</v>
      </c>
      <c r="R336" s="5">
        <v>0</v>
      </c>
      <c r="S336" s="149">
        <v>0</v>
      </c>
      <c r="T336" s="149">
        <v>0</v>
      </c>
      <c r="U336" s="150">
        <v>0</v>
      </c>
      <c r="V336" t="e">
        <v>#REF!</v>
      </c>
      <c r="W336" s="5" t="e">
        <v>#REF!</v>
      </c>
    </row>
    <row r="337" spans="1:23" ht="15" customHeight="1">
      <c r="A337" s="70" t="s">
        <v>492</v>
      </c>
      <c r="B337" s="70" t="s">
        <v>492</v>
      </c>
      <c r="C337" s="45"/>
      <c r="D337" s="55"/>
      <c r="E337" s="252">
        <v>0</v>
      </c>
      <c r="F337" s="29" t="s">
        <v>596</v>
      </c>
      <c r="G337" s="39"/>
      <c r="H337" s="39"/>
      <c r="I337" s="40"/>
      <c r="J337" s="47">
        <v>0</v>
      </c>
      <c r="K337" s="37">
        <v>0</v>
      </c>
      <c r="L337" s="43">
        <v>0</v>
      </c>
      <c r="M337" s="43">
        <v>0</v>
      </c>
      <c r="N337" s="37">
        <v>0</v>
      </c>
      <c r="O337" s="137">
        <v>0</v>
      </c>
      <c r="P337" s="137" t="s">
        <v>492</v>
      </c>
      <c r="Q337" s="182" t="s">
        <v>492</v>
      </c>
      <c r="R337" s="5">
        <v>0</v>
      </c>
      <c r="S337" s="149">
        <v>0</v>
      </c>
      <c r="T337" s="149">
        <v>0</v>
      </c>
      <c r="U337" s="150">
        <v>0</v>
      </c>
      <c r="V337" t="e">
        <v>#REF!</v>
      </c>
      <c r="W337" s="5" t="e">
        <v>#REF!</v>
      </c>
    </row>
    <row r="338" spans="1:23" ht="15" customHeight="1">
      <c r="A338" s="70" t="s">
        <v>492</v>
      </c>
      <c r="B338" s="70" t="s">
        <v>492</v>
      </c>
      <c r="C338" s="45"/>
      <c r="D338" s="55"/>
      <c r="E338" s="252">
        <v>0</v>
      </c>
      <c r="F338" s="29" t="s">
        <v>596</v>
      </c>
      <c r="G338" s="39"/>
      <c r="H338" s="39"/>
      <c r="I338" s="40"/>
      <c r="J338" s="47">
        <v>0</v>
      </c>
      <c r="K338" s="37">
        <v>0</v>
      </c>
      <c r="L338" s="43">
        <v>0</v>
      </c>
      <c r="M338" s="43">
        <v>0</v>
      </c>
      <c r="N338" s="37">
        <v>0</v>
      </c>
      <c r="O338" s="137">
        <v>0</v>
      </c>
      <c r="P338" s="137" t="s">
        <v>492</v>
      </c>
      <c r="Q338" s="182" t="s">
        <v>492</v>
      </c>
      <c r="R338" s="5">
        <v>0</v>
      </c>
      <c r="S338" s="149">
        <v>0</v>
      </c>
      <c r="T338" s="149">
        <v>0</v>
      </c>
      <c r="U338" s="150">
        <v>0</v>
      </c>
      <c r="V338" t="e">
        <v>#REF!</v>
      </c>
      <c r="W338" s="5" t="e">
        <v>#REF!</v>
      </c>
    </row>
    <row r="339" spans="1:23" ht="15" customHeight="1">
      <c r="A339" s="70" t="s">
        <v>492</v>
      </c>
      <c r="B339" s="70" t="s">
        <v>492</v>
      </c>
      <c r="C339" s="45"/>
      <c r="D339" s="55"/>
      <c r="E339" s="252">
        <v>0</v>
      </c>
      <c r="F339" s="29" t="s">
        <v>596</v>
      </c>
      <c r="G339" s="39"/>
      <c r="H339" s="39"/>
      <c r="I339" s="40"/>
      <c r="J339" s="47">
        <v>0</v>
      </c>
      <c r="K339" s="37">
        <v>0</v>
      </c>
      <c r="L339" s="43">
        <v>0</v>
      </c>
      <c r="M339" s="43">
        <v>0</v>
      </c>
      <c r="N339" s="37">
        <v>0</v>
      </c>
      <c r="O339" s="137">
        <v>0</v>
      </c>
      <c r="P339" s="137" t="s">
        <v>492</v>
      </c>
      <c r="Q339" s="182" t="s">
        <v>492</v>
      </c>
      <c r="R339" s="5">
        <v>0</v>
      </c>
      <c r="S339" s="149">
        <v>0</v>
      </c>
      <c r="T339" s="149">
        <v>0</v>
      </c>
      <c r="U339" s="150">
        <v>0</v>
      </c>
      <c r="V339" t="e">
        <v>#REF!</v>
      </c>
      <c r="W339" s="5" t="e">
        <v>#REF!</v>
      </c>
    </row>
    <row r="340" spans="1:23" ht="15" customHeight="1">
      <c r="A340" s="70" t="s">
        <v>492</v>
      </c>
      <c r="B340" s="70" t="s">
        <v>492</v>
      </c>
      <c r="C340" s="45"/>
      <c r="D340" s="55"/>
      <c r="E340" s="252">
        <v>0</v>
      </c>
      <c r="F340" s="29" t="s">
        <v>596</v>
      </c>
      <c r="G340" s="39"/>
      <c r="H340" s="39"/>
      <c r="I340" s="40"/>
      <c r="J340" s="47">
        <v>0</v>
      </c>
      <c r="K340" s="37">
        <v>0</v>
      </c>
      <c r="L340" s="43">
        <v>0</v>
      </c>
      <c r="M340" s="43">
        <v>0</v>
      </c>
      <c r="N340" s="37">
        <v>0</v>
      </c>
      <c r="O340" s="137">
        <v>0</v>
      </c>
      <c r="P340" s="137" t="s">
        <v>492</v>
      </c>
      <c r="Q340" s="182" t="s">
        <v>492</v>
      </c>
      <c r="R340" s="5">
        <v>0</v>
      </c>
      <c r="S340" s="149">
        <v>0</v>
      </c>
      <c r="T340" s="149">
        <v>0</v>
      </c>
      <c r="U340" s="150">
        <v>0</v>
      </c>
      <c r="V340" t="e">
        <v>#REF!</v>
      </c>
      <c r="W340" s="5" t="e">
        <v>#REF!</v>
      </c>
    </row>
    <row r="341" spans="1:23" ht="15" customHeight="1">
      <c r="A341" s="70" t="s">
        <v>492</v>
      </c>
      <c r="B341" s="70" t="s">
        <v>492</v>
      </c>
      <c r="C341" s="45"/>
      <c r="D341" s="55"/>
      <c r="E341" s="252">
        <v>0</v>
      </c>
      <c r="F341" s="29" t="s">
        <v>596</v>
      </c>
      <c r="G341" s="39"/>
      <c r="H341" s="39"/>
      <c r="I341" s="40"/>
      <c r="J341" s="47">
        <v>0</v>
      </c>
      <c r="K341" s="37">
        <v>0</v>
      </c>
      <c r="L341" s="43">
        <v>0</v>
      </c>
      <c r="M341" s="43">
        <v>0</v>
      </c>
      <c r="N341" s="37">
        <v>0</v>
      </c>
      <c r="O341" s="137">
        <v>0</v>
      </c>
      <c r="P341" s="137" t="s">
        <v>492</v>
      </c>
      <c r="Q341" s="182" t="s">
        <v>492</v>
      </c>
      <c r="R341" s="5">
        <v>0</v>
      </c>
      <c r="S341" s="149">
        <v>0</v>
      </c>
      <c r="T341" s="149">
        <v>0</v>
      </c>
      <c r="U341" s="150">
        <v>0</v>
      </c>
      <c r="V341" t="e">
        <v>#REF!</v>
      </c>
      <c r="W341" s="5" t="e">
        <v>#REF!</v>
      </c>
    </row>
    <row r="342" spans="1:23" ht="15" customHeight="1">
      <c r="A342" s="70" t="s">
        <v>492</v>
      </c>
      <c r="B342" s="70" t="s">
        <v>492</v>
      </c>
      <c r="C342" s="45"/>
      <c r="D342" s="55"/>
      <c r="E342" s="252">
        <v>0</v>
      </c>
      <c r="F342" s="29" t="s">
        <v>596</v>
      </c>
      <c r="G342" s="39"/>
      <c r="H342" s="39"/>
      <c r="I342" s="40"/>
      <c r="J342" s="47">
        <v>0</v>
      </c>
      <c r="K342" s="37">
        <v>0</v>
      </c>
      <c r="L342" s="43">
        <v>0</v>
      </c>
      <c r="M342" s="43">
        <v>0</v>
      </c>
      <c r="N342" s="37">
        <v>0</v>
      </c>
      <c r="O342" s="137">
        <v>0</v>
      </c>
      <c r="P342" s="137" t="s">
        <v>492</v>
      </c>
      <c r="Q342" s="182" t="s">
        <v>492</v>
      </c>
      <c r="R342" s="5">
        <v>0</v>
      </c>
      <c r="S342" s="149">
        <v>0</v>
      </c>
      <c r="T342" s="149">
        <v>0</v>
      </c>
      <c r="U342" s="150">
        <v>0</v>
      </c>
      <c r="V342" t="e">
        <v>#REF!</v>
      </c>
      <c r="W342" s="5" t="e">
        <v>#REF!</v>
      </c>
    </row>
    <row r="343" spans="1:23" ht="15" customHeight="1">
      <c r="A343" s="70" t="s">
        <v>492</v>
      </c>
      <c r="B343" s="70" t="s">
        <v>492</v>
      </c>
      <c r="C343" s="45"/>
      <c r="D343" s="55"/>
      <c r="E343" s="252">
        <v>0</v>
      </c>
      <c r="F343" s="29" t="s">
        <v>596</v>
      </c>
      <c r="G343" s="39"/>
      <c r="H343" s="39"/>
      <c r="I343" s="40"/>
      <c r="J343" s="47">
        <v>0</v>
      </c>
      <c r="K343" s="37">
        <v>0</v>
      </c>
      <c r="L343" s="43">
        <v>0</v>
      </c>
      <c r="M343" s="43">
        <v>0</v>
      </c>
      <c r="N343" s="37">
        <v>0</v>
      </c>
      <c r="O343" s="137">
        <v>0</v>
      </c>
      <c r="P343" s="137" t="s">
        <v>492</v>
      </c>
      <c r="Q343" s="182" t="s">
        <v>492</v>
      </c>
      <c r="R343" s="5">
        <v>0</v>
      </c>
      <c r="S343" s="149">
        <v>0</v>
      </c>
      <c r="T343" s="149">
        <v>0</v>
      </c>
      <c r="U343" s="150">
        <v>0</v>
      </c>
      <c r="V343" t="e">
        <v>#REF!</v>
      </c>
      <c r="W343" s="5" t="e">
        <v>#REF!</v>
      </c>
    </row>
    <row r="344" spans="1:23" ht="15" customHeight="1">
      <c r="A344" s="70" t="s">
        <v>492</v>
      </c>
      <c r="B344" s="70" t="s">
        <v>492</v>
      </c>
      <c r="C344" s="45"/>
      <c r="D344" s="55"/>
      <c r="E344" s="252">
        <v>0</v>
      </c>
      <c r="F344" s="29" t="s">
        <v>596</v>
      </c>
      <c r="G344" s="39"/>
      <c r="H344" s="39"/>
      <c r="I344" s="40"/>
      <c r="J344" s="47">
        <v>0</v>
      </c>
      <c r="K344" s="37">
        <v>0</v>
      </c>
      <c r="L344" s="43">
        <v>0</v>
      </c>
      <c r="M344" s="43">
        <v>0</v>
      </c>
      <c r="N344" s="37">
        <v>0</v>
      </c>
      <c r="O344" s="137">
        <v>0</v>
      </c>
      <c r="P344" s="137" t="s">
        <v>492</v>
      </c>
      <c r="Q344" s="182" t="s">
        <v>492</v>
      </c>
      <c r="R344" s="5">
        <v>0</v>
      </c>
      <c r="S344" s="149">
        <v>0</v>
      </c>
      <c r="T344" s="149">
        <v>0</v>
      </c>
      <c r="U344" s="150">
        <v>0</v>
      </c>
      <c r="V344" t="e">
        <v>#REF!</v>
      </c>
      <c r="W344" s="5" t="e">
        <v>#REF!</v>
      </c>
    </row>
    <row r="345" spans="1:23" ht="15" customHeight="1">
      <c r="A345" s="70" t="s">
        <v>492</v>
      </c>
      <c r="B345" s="70" t="s">
        <v>492</v>
      </c>
      <c r="C345" s="45"/>
      <c r="D345" s="55"/>
      <c r="E345" s="252">
        <v>0</v>
      </c>
      <c r="F345" s="29" t="s">
        <v>596</v>
      </c>
      <c r="G345" s="39"/>
      <c r="H345" s="39"/>
      <c r="I345" s="40"/>
      <c r="J345" s="47">
        <v>0</v>
      </c>
      <c r="K345" s="37">
        <v>0</v>
      </c>
      <c r="L345" s="43">
        <v>0</v>
      </c>
      <c r="M345" s="43">
        <v>0</v>
      </c>
      <c r="N345" s="37">
        <v>0</v>
      </c>
      <c r="O345" s="137">
        <v>0</v>
      </c>
      <c r="P345" s="137" t="s">
        <v>492</v>
      </c>
      <c r="Q345" s="182" t="s">
        <v>492</v>
      </c>
      <c r="R345" s="5">
        <v>0</v>
      </c>
      <c r="S345" s="149">
        <v>0</v>
      </c>
      <c r="T345" s="149">
        <v>0</v>
      </c>
      <c r="U345" s="150">
        <v>0</v>
      </c>
      <c r="V345" t="e">
        <v>#REF!</v>
      </c>
      <c r="W345" s="5" t="e">
        <v>#REF!</v>
      </c>
    </row>
    <row r="346" spans="1:23" ht="15" customHeight="1">
      <c r="A346" s="70" t="s">
        <v>492</v>
      </c>
      <c r="B346" s="70" t="s">
        <v>492</v>
      </c>
      <c r="C346" s="45"/>
      <c r="D346" s="55"/>
      <c r="E346" s="252">
        <v>0</v>
      </c>
      <c r="F346" s="29" t="s">
        <v>596</v>
      </c>
      <c r="G346" s="39"/>
      <c r="H346" s="39"/>
      <c r="I346" s="40"/>
      <c r="J346" s="47">
        <v>0</v>
      </c>
      <c r="K346" s="37">
        <v>0</v>
      </c>
      <c r="L346" s="43">
        <v>0</v>
      </c>
      <c r="M346" s="43">
        <v>0</v>
      </c>
      <c r="N346" s="37">
        <v>0</v>
      </c>
      <c r="O346" s="137">
        <v>0</v>
      </c>
      <c r="P346" s="137" t="s">
        <v>492</v>
      </c>
      <c r="Q346" s="182" t="s">
        <v>492</v>
      </c>
      <c r="R346" s="5">
        <v>0</v>
      </c>
      <c r="S346" s="149">
        <v>0</v>
      </c>
      <c r="T346" s="149">
        <v>0</v>
      </c>
      <c r="U346" s="150">
        <v>0</v>
      </c>
      <c r="V346" t="e">
        <v>#REF!</v>
      </c>
      <c r="W346" s="5" t="e">
        <v>#REF!</v>
      </c>
    </row>
    <row r="347" spans="1:23" ht="15" customHeight="1">
      <c r="A347" s="70" t="s">
        <v>492</v>
      </c>
      <c r="B347" s="70" t="s">
        <v>492</v>
      </c>
      <c r="C347" s="45"/>
      <c r="D347" s="55"/>
      <c r="E347" s="252">
        <v>0</v>
      </c>
      <c r="F347" s="29" t="s">
        <v>596</v>
      </c>
      <c r="G347" s="39"/>
      <c r="H347" s="39"/>
      <c r="I347" s="40"/>
      <c r="J347" s="47">
        <v>0</v>
      </c>
      <c r="K347" s="37">
        <v>0</v>
      </c>
      <c r="L347" s="43">
        <v>0</v>
      </c>
      <c r="M347" s="43">
        <v>0</v>
      </c>
      <c r="N347" s="37">
        <v>0</v>
      </c>
      <c r="O347" s="137">
        <v>0</v>
      </c>
      <c r="P347" s="137" t="s">
        <v>492</v>
      </c>
      <c r="Q347" s="182" t="s">
        <v>492</v>
      </c>
      <c r="R347" s="5">
        <v>0</v>
      </c>
      <c r="S347" s="149">
        <v>0</v>
      </c>
      <c r="T347" s="149">
        <v>0</v>
      </c>
      <c r="U347" s="150">
        <v>0</v>
      </c>
      <c r="V347" t="e">
        <v>#REF!</v>
      </c>
      <c r="W347" s="5" t="e">
        <v>#REF!</v>
      </c>
    </row>
    <row r="348" spans="1:23" ht="15" customHeight="1">
      <c r="A348" s="70" t="s">
        <v>492</v>
      </c>
      <c r="B348" s="70" t="s">
        <v>492</v>
      </c>
      <c r="C348" s="45"/>
      <c r="D348" s="55"/>
      <c r="E348" s="252">
        <v>0</v>
      </c>
      <c r="F348" s="29" t="s">
        <v>596</v>
      </c>
      <c r="G348" s="39"/>
      <c r="H348" s="39"/>
      <c r="I348" s="40"/>
      <c r="J348" s="47">
        <v>0</v>
      </c>
      <c r="K348" s="37">
        <v>0</v>
      </c>
      <c r="L348" s="43">
        <v>0</v>
      </c>
      <c r="M348" s="43">
        <v>0</v>
      </c>
      <c r="N348" s="37">
        <v>0</v>
      </c>
      <c r="O348" s="137">
        <v>0</v>
      </c>
      <c r="P348" s="137" t="s">
        <v>492</v>
      </c>
      <c r="Q348" s="182" t="s">
        <v>492</v>
      </c>
      <c r="R348" s="5">
        <v>0</v>
      </c>
      <c r="S348" s="149">
        <v>0</v>
      </c>
      <c r="T348" s="149">
        <v>0</v>
      </c>
      <c r="U348" s="150">
        <v>0</v>
      </c>
      <c r="V348" t="e">
        <v>#REF!</v>
      </c>
      <c r="W348" s="5" t="e">
        <v>#REF!</v>
      </c>
    </row>
    <row r="349" spans="1:23" ht="15" customHeight="1">
      <c r="A349" s="70" t="s">
        <v>492</v>
      </c>
      <c r="B349" s="70" t="s">
        <v>492</v>
      </c>
      <c r="C349" s="45"/>
      <c r="D349" s="55"/>
      <c r="E349" s="252">
        <v>0</v>
      </c>
      <c r="F349" s="29" t="s">
        <v>596</v>
      </c>
      <c r="G349" s="39"/>
      <c r="H349" s="39"/>
      <c r="I349" s="40"/>
      <c r="J349" s="47">
        <v>0</v>
      </c>
      <c r="K349" s="37">
        <v>0</v>
      </c>
      <c r="L349" s="43">
        <v>0</v>
      </c>
      <c r="M349" s="43">
        <v>0</v>
      </c>
      <c r="N349" s="37">
        <v>0</v>
      </c>
      <c r="O349" s="137">
        <v>0</v>
      </c>
      <c r="P349" s="137" t="s">
        <v>492</v>
      </c>
      <c r="Q349" s="182" t="s">
        <v>492</v>
      </c>
      <c r="R349" s="5">
        <v>0</v>
      </c>
      <c r="S349" s="149">
        <v>0</v>
      </c>
      <c r="T349" s="149">
        <v>0</v>
      </c>
      <c r="U349" s="150">
        <v>0</v>
      </c>
      <c r="V349" t="e">
        <v>#REF!</v>
      </c>
      <c r="W349" s="5" t="e">
        <v>#REF!</v>
      </c>
    </row>
    <row r="350" spans="1:23" ht="15" customHeight="1">
      <c r="A350" s="70" t="s">
        <v>492</v>
      </c>
      <c r="B350" s="70" t="s">
        <v>492</v>
      </c>
      <c r="C350" s="45"/>
      <c r="D350" s="55"/>
      <c r="E350" s="252">
        <v>0</v>
      </c>
      <c r="F350" s="29" t="s">
        <v>596</v>
      </c>
      <c r="G350" s="39"/>
      <c r="H350" s="39"/>
      <c r="I350" s="40"/>
      <c r="J350" s="47">
        <v>0</v>
      </c>
      <c r="K350" s="37">
        <v>0</v>
      </c>
      <c r="L350" s="43">
        <v>0</v>
      </c>
      <c r="M350" s="43">
        <v>0</v>
      </c>
      <c r="N350" s="37">
        <v>0</v>
      </c>
      <c r="O350" s="137">
        <v>0</v>
      </c>
      <c r="P350" s="137" t="s">
        <v>492</v>
      </c>
      <c r="Q350" s="182" t="s">
        <v>492</v>
      </c>
      <c r="R350" s="5">
        <v>0</v>
      </c>
      <c r="S350" s="149">
        <v>0</v>
      </c>
      <c r="T350" s="149">
        <v>0</v>
      </c>
      <c r="U350" s="150">
        <v>0</v>
      </c>
      <c r="V350" t="e">
        <v>#REF!</v>
      </c>
      <c r="W350" s="5" t="e">
        <v>#REF!</v>
      </c>
    </row>
    <row r="351" ht="15" customHeight="1"/>
    <row r="352" spans="16:17" ht="15" customHeight="1">
      <c r="P352" s="180"/>
      <c r="Q352" s="183"/>
    </row>
  </sheetData>
  <sheetProtection/>
  <conditionalFormatting sqref="G5:H5 J5:K5">
    <cfRule type="cellIs" priority="4" dxfId="9" operator="greaterThanOrEqual" stopIfTrue="1">
      <formula>0</formula>
    </cfRule>
    <cfRule type="cellIs" priority="5" dxfId="8" operator="lessThan" stopIfTrue="1">
      <formula>0</formula>
    </cfRule>
  </conditionalFormatting>
  <conditionalFormatting sqref="K11 J12:K350 N12:N350">
    <cfRule type="cellIs" priority="6" dxfId="2" operator="equal" stopIfTrue="1">
      <formula>0</formula>
    </cfRule>
  </conditionalFormatting>
  <conditionalFormatting sqref="I5">
    <cfRule type="cellIs" priority="7" dxfId="6" operator="greaterThanOrEqual" stopIfTrue="1">
      <formula>0</formula>
    </cfRule>
    <cfRule type="cellIs" priority="8" dxfId="5" operator="lessThan" stopIfTrue="1">
      <formula>0</formula>
    </cfRule>
  </conditionalFormatting>
  <conditionalFormatting sqref="L12:M350">
    <cfRule type="cellIs" priority="3" dxfId="2" operator="equal" stopIfTrue="1">
      <formula>0</formula>
    </cfRule>
  </conditionalFormatting>
  <conditionalFormatting sqref="E12">
    <cfRule type="cellIs" priority="2" dxfId="2" operator="equal" stopIfTrue="1">
      <formula>0</formula>
    </cfRule>
  </conditionalFormatting>
  <conditionalFormatting sqref="E13:E350">
    <cfRule type="cellIs" priority="1" dxfId="2" operator="equal" stopIfTrue="1">
      <formula>0</formula>
    </cfRule>
  </conditionalFormatting>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E150"/>
  <sheetViews>
    <sheetView tabSelected="1" workbookViewId="0" topLeftCell="A1">
      <selection activeCell="P11" sqref="P10:P11"/>
    </sheetView>
  </sheetViews>
  <sheetFormatPr defaultColWidth="9.140625" defaultRowHeight="12.75"/>
  <cols>
    <col min="1" max="1" width="6.00390625" style="0" customWidth="1"/>
    <col min="2" max="2" width="33.00390625" style="0" customWidth="1"/>
    <col min="3" max="3" width="2.00390625" style="0" customWidth="1"/>
    <col min="4" max="4" width="9.28125" style="0" customWidth="1"/>
    <col min="5" max="5" width="9.28125" style="0" hidden="1" customWidth="1"/>
    <col min="6" max="7" width="9.28125" style="0" customWidth="1"/>
    <col min="8" max="8" width="9.28125" style="141" customWidth="1"/>
    <col min="9" max="9" width="4.57421875" style="141" customWidth="1"/>
    <col min="10" max="11" width="9.7109375" style="0" customWidth="1"/>
    <col min="12" max="12" width="5.00390625" style="0" customWidth="1"/>
    <col min="13" max="15" width="9.7109375" style="0" customWidth="1"/>
    <col min="16" max="16" width="57.140625" style="242" customWidth="1"/>
    <col min="17" max="17" width="9.421875" style="0" hidden="1" customWidth="1"/>
    <col min="18" max="18" width="9.7109375" style="0" hidden="1" customWidth="1"/>
    <col min="19" max="19" width="11.00390625" style="0" hidden="1" customWidth="1"/>
    <col min="20" max="21" width="9.00390625" style="0" hidden="1" customWidth="1"/>
    <col min="22" max="22" width="28.28125" style="0" hidden="1" customWidth="1"/>
    <col min="23" max="23" width="10.140625" style="0" hidden="1" customWidth="1"/>
    <col min="24" max="25" width="9.00390625" style="0" customWidth="1"/>
  </cols>
  <sheetData>
    <row r="1" spans="2:23" ht="17.25" customHeight="1">
      <c r="B1" s="163"/>
      <c r="C1" s="144"/>
      <c r="D1" s="144"/>
      <c r="E1" s="144"/>
      <c r="F1" s="144"/>
      <c r="G1" s="144"/>
      <c r="H1" s="145"/>
      <c r="I1" s="145"/>
      <c r="J1" s="372" t="s">
        <v>42</v>
      </c>
      <c r="K1" s="372"/>
      <c r="L1" s="372"/>
      <c r="M1" s="372"/>
      <c r="N1" s="144"/>
      <c r="O1" s="144"/>
      <c r="P1" s="144"/>
      <c r="Q1" s="82"/>
      <c r="R1" s="82"/>
      <c r="S1" s="82"/>
      <c r="T1" s="82"/>
      <c r="U1" s="82"/>
      <c r="V1" s="82"/>
      <c r="W1" s="83"/>
    </row>
    <row r="2" spans="2:23" ht="28.5" customHeight="1">
      <c r="B2" s="163"/>
      <c r="C2" s="84"/>
      <c r="D2" s="84"/>
      <c r="E2" s="84"/>
      <c r="F2" s="84"/>
      <c r="G2" s="84"/>
      <c r="H2" s="140"/>
      <c r="I2" s="140"/>
      <c r="J2" s="372" t="s">
        <v>735</v>
      </c>
      <c r="K2" s="372"/>
      <c r="L2" s="372"/>
      <c r="M2" s="372"/>
      <c r="N2" s="84"/>
      <c r="O2" s="84"/>
      <c r="P2" s="322">
        <v>42370</v>
      </c>
      <c r="Q2" s="84"/>
      <c r="R2" s="84"/>
      <c r="S2" s="84"/>
      <c r="T2" s="84"/>
      <c r="U2" s="84"/>
      <c r="V2" s="84"/>
      <c r="W2" s="85"/>
    </row>
    <row r="3" spans="2:23" ht="15" customHeight="1" thickBot="1">
      <c r="B3" s="163"/>
      <c r="C3" s="84"/>
      <c r="D3" s="84"/>
      <c r="E3" s="84"/>
      <c r="F3" s="84"/>
      <c r="G3" s="84"/>
      <c r="H3" s="140"/>
      <c r="I3" s="140"/>
      <c r="J3" s="222"/>
      <c r="K3" s="222"/>
      <c r="L3" s="222"/>
      <c r="M3" s="222"/>
      <c r="N3" s="84"/>
      <c r="O3" s="84"/>
      <c r="P3" s="232"/>
      <c r="Q3" s="84"/>
      <c r="R3" s="84"/>
      <c r="S3" s="84"/>
      <c r="T3" s="84"/>
      <c r="U3" s="84"/>
      <c r="V3" s="84"/>
      <c r="W3" s="85"/>
    </row>
    <row r="4" spans="2:28" ht="16.5" thickBot="1">
      <c r="B4" s="86"/>
      <c r="C4" s="86"/>
      <c r="D4" s="261" t="s">
        <v>736</v>
      </c>
      <c r="E4" s="264" t="s">
        <v>503</v>
      </c>
      <c r="F4" s="261" t="s">
        <v>736</v>
      </c>
      <c r="G4" s="261" t="s">
        <v>736</v>
      </c>
      <c r="H4" s="261" t="s">
        <v>736</v>
      </c>
      <c r="I4" s="220"/>
      <c r="J4" s="261" t="s">
        <v>736</v>
      </c>
      <c r="K4" s="261" t="s">
        <v>736</v>
      </c>
      <c r="L4" s="220"/>
      <c r="M4" s="261" t="s">
        <v>736</v>
      </c>
      <c r="N4" s="261" t="s">
        <v>736</v>
      </c>
      <c r="O4" s="261" t="s">
        <v>736</v>
      </c>
      <c r="P4" s="233"/>
      <c r="Q4" s="86"/>
      <c r="R4" s="86"/>
      <c r="S4" s="86"/>
      <c r="T4" s="86"/>
      <c r="U4" s="86"/>
      <c r="V4" s="86"/>
      <c r="W4" s="85"/>
      <c r="AB4" t="s">
        <v>668</v>
      </c>
    </row>
    <row r="5" spans="2:28" ht="52.5" customHeight="1" thickBot="1">
      <c r="B5" s="86"/>
      <c r="C5" s="86"/>
      <c r="D5" s="263" t="s">
        <v>552</v>
      </c>
      <c r="E5" s="265" t="s">
        <v>549</v>
      </c>
      <c r="F5" s="263" t="s">
        <v>550</v>
      </c>
      <c r="G5" s="263" t="s">
        <v>551</v>
      </c>
      <c r="H5" s="263" t="s">
        <v>553</v>
      </c>
      <c r="I5" s="160"/>
      <c r="J5" s="266" t="s">
        <v>508</v>
      </c>
      <c r="K5" s="266" t="s">
        <v>504</v>
      </c>
      <c r="L5" s="161"/>
      <c r="M5" s="267" t="s">
        <v>509</v>
      </c>
      <c r="N5" s="267" t="s">
        <v>505</v>
      </c>
      <c r="O5" s="267" t="s">
        <v>510</v>
      </c>
      <c r="P5" s="262" t="s">
        <v>506</v>
      </c>
      <c r="Q5" s="86"/>
      <c r="R5" s="86"/>
      <c r="S5" s="86"/>
      <c r="T5" s="86"/>
      <c r="U5" s="86"/>
      <c r="V5" s="86"/>
      <c r="W5" s="85"/>
      <c r="AB5" t="s">
        <v>552</v>
      </c>
    </row>
    <row r="6" spans="2:27" ht="21">
      <c r="B6" s="87" t="s">
        <v>521</v>
      </c>
      <c r="C6" s="87"/>
      <c r="D6" s="206"/>
      <c r="E6" s="87"/>
      <c r="F6" s="87"/>
      <c r="G6" s="87"/>
      <c r="H6" s="226"/>
      <c r="I6" s="158"/>
      <c r="J6" s="206"/>
      <c r="K6" s="207"/>
      <c r="L6" s="159"/>
      <c r="M6" s="206"/>
      <c r="N6" s="87"/>
      <c r="O6" s="207"/>
      <c r="P6" s="288" t="s">
        <v>598</v>
      </c>
      <c r="Q6" s="87"/>
      <c r="R6" s="88" t="s">
        <v>435</v>
      </c>
      <c r="S6" s="88" t="s">
        <v>436</v>
      </c>
      <c r="T6" s="88" t="s">
        <v>437</v>
      </c>
      <c r="U6" s="88"/>
      <c r="V6" s="89"/>
      <c r="W6" s="90"/>
      <c r="X6" s="90"/>
      <c r="Y6" s="90"/>
      <c r="Z6" s="90"/>
      <c r="AA6" s="90" t="s">
        <v>521</v>
      </c>
    </row>
    <row r="7" spans="2:27" ht="18.75">
      <c r="B7" s="93" t="s">
        <v>438</v>
      </c>
      <c r="C7" s="87"/>
      <c r="D7" s="206"/>
      <c r="E7" s="87"/>
      <c r="F7" s="87"/>
      <c r="G7" s="87"/>
      <c r="H7" s="226"/>
      <c r="I7" s="158"/>
      <c r="J7" s="206"/>
      <c r="K7" s="207"/>
      <c r="L7" s="159"/>
      <c r="M7" s="206"/>
      <c r="N7" s="87"/>
      <c r="O7" s="207"/>
      <c r="P7" s="234"/>
      <c r="Q7" s="87"/>
      <c r="R7" s="88"/>
      <c r="S7" s="88"/>
      <c r="T7" s="88"/>
      <c r="U7" s="88"/>
      <c r="V7" s="89"/>
      <c r="W7" s="90"/>
      <c r="X7" s="90"/>
      <c r="Y7" s="90"/>
      <c r="Z7" s="90"/>
      <c r="AA7" s="90" t="s">
        <v>438</v>
      </c>
    </row>
    <row r="8" spans="1:31" s="92" customFormat="1" ht="12.75">
      <c r="A8" s="147">
        <v>5100</v>
      </c>
      <c r="B8" s="94" t="s">
        <v>499</v>
      </c>
      <c r="C8" s="93"/>
      <c r="D8" s="200">
        <f>SUMIF('Budget14-15'!M:M,A8,'Budget14-15'!S:S)*-1</f>
        <v>6008596</v>
      </c>
      <c r="E8" s="165">
        <f>SUMIF('Workings Prior Month'!O:O,A8,'Workings Prior Month'!C:C)*-1</f>
        <v>6008596</v>
      </c>
      <c r="F8" s="165">
        <f>+E8-D8</f>
        <v>0</v>
      </c>
      <c r="G8" s="165">
        <f>+H8-E8</f>
        <v>0</v>
      </c>
      <c r="H8" s="223">
        <f>SUMIF(Workings!O:O,A8,Workings!C:C)*-1</f>
        <v>6008596</v>
      </c>
      <c r="I8" s="164"/>
      <c r="J8" s="200">
        <f>+(+SUMIF('Workings Prior Month'!O:O,A8,'Workings Prior Month'!C:C)-SUMIF('Workings Prior Month'!O:O,A8,'Workings Prior Month'!J:J)+SUMIF('Workings Prior Month'!O:O,A8,'Workings Prior Month'!K:K))*-1</f>
        <v>6008596</v>
      </c>
      <c r="K8" s="208">
        <f>-H8+J8</f>
        <v>0</v>
      </c>
      <c r="L8" s="167"/>
      <c r="M8" s="200">
        <f>+(+SUMIF(Workings!O:O,A8,Workings!C:C)-SUMIF(Workings!O:O,A8,Workings!J:J)+SUMIF(Workings!O:O,A8,Workings!K:K))*-1</f>
        <v>6008596</v>
      </c>
      <c r="N8" s="166">
        <f>-K8+O8</f>
        <v>0</v>
      </c>
      <c r="O8" s="208">
        <f>-H8+M8</f>
        <v>0</v>
      </c>
      <c r="P8" s="218"/>
      <c r="Q8" s="93"/>
      <c r="R8" s="101"/>
      <c r="S8" s="142"/>
      <c r="T8" s="143"/>
      <c r="U8" s="94"/>
      <c r="V8" s="95"/>
      <c r="W8" s="96"/>
      <c r="X8" s="97"/>
      <c r="Y8" s="97"/>
      <c r="Z8" s="92">
        <v>5100</v>
      </c>
      <c r="AA8" s="92" t="s">
        <v>499</v>
      </c>
      <c r="AB8" s="92">
        <v>6633849</v>
      </c>
      <c r="AC8" s="321">
        <f>+D8</f>
        <v>6008596</v>
      </c>
      <c r="AD8" s="321"/>
      <c r="AE8" s="321">
        <f>+AB8-AC8-AD8</f>
        <v>625253</v>
      </c>
    </row>
    <row r="9" spans="1:31" s="92" customFormat="1" ht="12.75">
      <c r="A9" s="147">
        <v>5200</v>
      </c>
      <c r="B9" s="94" t="s">
        <v>500</v>
      </c>
      <c r="C9" s="93"/>
      <c r="D9" s="200">
        <f>SUMIF('Budget14-15'!M:M,A9,'Budget14-15'!S:S)*-1</f>
        <v>331417</v>
      </c>
      <c r="E9" s="165">
        <f>SUMIF('Workings Prior Month'!O:O,A9,'Workings Prior Month'!C:C)*-1</f>
        <v>331417</v>
      </c>
      <c r="F9" s="165">
        <f>+E9-D9</f>
        <v>0</v>
      </c>
      <c r="G9" s="165">
        <f>+H9-E9</f>
        <v>0</v>
      </c>
      <c r="H9" s="208">
        <f>SUMIF(Workings!O:O,A9,Workings!C:C)*-1</f>
        <v>331417</v>
      </c>
      <c r="I9" s="164"/>
      <c r="J9" s="200">
        <f>+(+SUMIF('Workings Prior Month'!O:O,A9,'Workings Prior Month'!C:C)-SUMIF('Workings Prior Month'!O:O,A9,'Workings Prior Month'!J:J)+SUMIF('Workings Prior Month'!O:O,A9,'Workings Prior Month'!K:K))*-1</f>
        <v>331417</v>
      </c>
      <c r="K9" s="208">
        <f>-H9+J9</f>
        <v>0</v>
      </c>
      <c r="L9" s="167"/>
      <c r="M9" s="200">
        <f>+(+SUMIF(Workings!O:O,A9,Workings!C:C)-SUMIF(Workings!O:O,A9,Workings!J:J)+SUMIF(Workings!O:O,A9,Workings!K:K))*-1</f>
        <v>331417</v>
      </c>
      <c r="N9" s="166">
        <f>-K9+O9</f>
        <v>0</v>
      </c>
      <c r="O9" s="208">
        <f>-H9+M9</f>
        <v>0</v>
      </c>
      <c r="P9" s="236"/>
      <c r="Q9" s="93"/>
      <c r="R9" s="101"/>
      <c r="S9" s="142"/>
      <c r="T9" s="143"/>
      <c r="U9" s="94"/>
      <c r="V9" s="95"/>
      <c r="W9" s="96"/>
      <c r="X9" s="97"/>
      <c r="Y9" s="97"/>
      <c r="Z9" s="92">
        <v>5200</v>
      </c>
      <c r="AA9" s="92" t="s">
        <v>500</v>
      </c>
      <c r="AB9" s="92">
        <v>1040049</v>
      </c>
      <c r="AC9" s="321">
        <f aca="true" t="shared" si="0" ref="AC9:AC72">+D9</f>
        <v>331417</v>
      </c>
      <c r="AD9" s="321"/>
      <c r="AE9" s="321">
        <f aca="true" t="shared" si="1" ref="AE9:AE72">+AB9-AC9-AD9</f>
        <v>708632</v>
      </c>
    </row>
    <row r="10" spans="1:31" s="92" customFormat="1" ht="12.75">
      <c r="A10" s="147">
        <v>5300</v>
      </c>
      <c r="B10" s="94" t="s">
        <v>176</v>
      </c>
      <c r="C10" s="93"/>
      <c r="D10" s="200">
        <f>SUMIF('Budget14-15'!M:M,A10,'Budget14-15'!S:S)*-1</f>
        <v>506513</v>
      </c>
      <c r="E10" s="165">
        <f>SUMIF('Workings Prior Month'!O:O,A10,'Workings Prior Month'!C:C)*-1</f>
        <v>510113</v>
      </c>
      <c r="F10" s="165">
        <f>+E10-D10</f>
        <v>3600</v>
      </c>
      <c r="G10" s="165">
        <f>+H10-E10</f>
        <v>17000</v>
      </c>
      <c r="H10" s="208">
        <f>SUMIF(Workings!O:O,A10,Workings!C:C)*-1</f>
        <v>527113</v>
      </c>
      <c r="I10" s="164"/>
      <c r="J10" s="200">
        <f>+(+SUMIF('Workings Prior Month'!O:O,A10,'Workings Prior Month'!C:C)-SUMIF('Workings Prior Month'!O:O,A10,'Workings Prior Month'!J:J)+SUMIF('Workings Prior Month'!O:O,A10,'Workings Prior Month'!K:K))*-1</f>
        <v>510196</v>
      </c>
      <c r="K10" s="208">
        <f>-H10+J10</f>
        <v>-16917</v>
      </c>
      <c r="L10" s="167"/>
      <c r="M10" s="200">
        <f>+(+SUMIF(Workings!O:O,A10,Workings!C:C)-SUMIF(Workings!O:O,A10,Workings!J:J)+SUMIF(Workings!O:O,A10,Workings!K:K))*-1</f>
        <v>527856</v>
      </c>
      <c r="N10" s="166">
        <f>-K10+O10</f>
        <v>17660</v>
      </c>
      <c r="O10" s="208">
        <f>-H10+M10</f>
        <v>743</v>
      </c>
      <c r="P10" s="236" t="s">
        <v>773</v>
      </c>
      <c r="Q10" s="93"/>
      <c r="R10" s="101"/>
      <c r="S10" s="142"/>
      <c r="T10" s="143"/>
      <c r="U10" s="94"/>
      <c r="V10" s="95"/>
      <c r="W10" s="96"/>
      <c r="X10" s="97"/>
      <c r="Y10" s="97"/>
      <c r="Z10" s="92">
        <v>5300</v>
      </c>
      <c r="AA10" s="92" t="s">
        <v>176</v>
      </c>
      <c r="AB10" s="92">
        <v>254259</v>
      </c>
      <c r="AC10" s="321">
        <f t="shared" si="0"/>
        <v>506513</v>
      </c>
      <c r="AD10" s="321"/>
      <c r="AE10" s="321">
        <f t="shared" si="1"/>
        <v>-252254</v>
      </c>
    </row>
    <row r="11" spans="1:31" s="92" customFormat="1" ht="12.75">
      <c r="A11" s="147"/>
      <c r="B11" s="94"/>
      <c r="C11" s="93"/>
      <c r="D11" s="225"/>
      <c r="E11" s="93"/>
      <c r="F11" s="93"/>
      <c r="G11" s="93"/>
      <c r="H11" s="208"/>
      <c r="I11" s="164"/>
      <c r="J11" s="200"/>
      <c r="K11" s="208"/>
      <c r="L11" s="167"/>
      <c r="M11" s="200"/>
      <c r="N11" s="166"/>
      <c r="O11" s="208"/>
      <c r="P11" s="236"/>
      <c r="Q11" s="93"/>
      <c r="R11" s="101"/>
      <c r="S11" s="142"/>
      <c r="T11" s="143"/>
      <c r="U11" s="94"/>
      <c r="V11" s="95"/>
      <c r="W11" s="96"/>
      <c r="X11" s="97"/>
      <c r="Y11" s="97"/>
      <c r="AC11" s="321">
        <f t="shared" si="0"/>
        <v>0</v>
      </c>
      <c r="AD11" s="321"/>
      <c r="AE11" s="321">
        <f t="shared" si="1"/>
        <v>0</v>
      </c>
    </row>
    <row r="12" spans="1:31" s="92" customFormat="1" ht="12.75">
      <c r="A12" s="147"/>
      <c r="B12" s="93" t="s">
        <v>516</v>
      </c>
      <c r="C12" s="93"/>
      <c r="D12" s="197">
        <f>SUM(D8:D11)</f>
        <v>6846526</v>
      </c>
      <c r="E12" s="169">
        <f>SUM(E8:E11)</f>
        <v>6850126</v>
      </c>
      <c r="F12" s="169">
        <f>SUM(F8:F11)</f>
        <v>3600</v>
      </c>
      <c r="G12" s="169">
        <f>SUM(G8:G11)</f>
        <v>17000</v>
      </c>
      <c r="H12" s="209">
        <f>SUM(H8:H11)</f>
        <v>6867126</v>
      </c>
      <c r="I12" s="164"/>
      <c r="J12" s="197">
        <f>SUM(J8:J11)</f>
        <v>6850209</v>
      </c>
      <c r="K12" s="209">
        <f>SUM(K8:K11)</f>
        <v>-16917</v>
      </c>
      <c r="L12" s="167"/>
      <c r="M12" s="197">
        <f>SUM(M8:M11)</f>
        <v>6867869</v>
      </c>
      <c r="N12" s="169">
        <f>SUM(N8:N11)</f>
        <v>17660</v>
      </c>
      <c r="O12" s="209">
        <f>SUM(O8:O11)</f>
        <v>743</v>
      </c>
      <c r="P12" s="235"/>
      <c r="Q12" s="93"/>
      <c r="R12" s="101"/>
      <c r="S12" s="142"/>
      <c r="T12" s="143"/>
      <c r="U12" s="94"/>
      <c r="V12" s="95"/>
      <c r="W12" s="96"/>
      <c r="X12" s="97"/>
      <c r="Y12" s="97"/>
      <c r="AA12" s="92" t="s">
        <v>516</v>
      </c>
      <c r="AB12" s="92">
        <v>7928157</v>
      </c>
      <c r="AC12" s="321">
        <f t="shared" si="0"/>
        <v>6846526</v>
      </c>
      <c r="AD12" s="321"/>
      <c r="AE12" s="321">
        <f t="shared" si="1"/>
        <v>1081631</v>
      </c>
    </row>
    <row r="13" spans="1:31" s="92" customFormat="1" ht="12.75">
      <c r="A13" s="147"/>
      <c r="B13" s="93"/>
      <c r="C13" s="93"/>
      <c r="D13" s="198"/>
      <c r="E13" s="166"/>
      <c r="F13" s="166"/>
      <c r="G13" s="166"/>
      <c r="H13" s="208"/>
      <c r="I13" s="164"/>
      <c r="J13" s="203"/>
      <c r="K13" s="210"/>
      <c r="L13" s="167"/>
      <c r="M13" s="203"/>
      <c r="N13" s="171"/>
      <c r="O13" s="210"/>
      <c r="P13" s="235"/>
      <c r="Q13" s="93"/>
      <c r="R13" s="101"/>
      <c r="S13" s="142"/>
      <c r="T13" s="143"/>
      <c r="U13" s="94"/>
      <c r="V13" s="95"/>
      <c r="W13" s="96"/>
      <c r="X13" s="97"/>
      <c r="Y13" s="97"/>
      <c r="AC13" s="321">
        <f t="shared" si="0"/>
        <v>0</v>
      </c>
      <c r="AD13" s="321"/>
      <c r="AE13" s="321">
        <f t="shared" si="1"/>
        <v>0</v>
      </c>
    </row>
    <row r="14" spans="4:31" s="92" customFormat="1" ht="12.75">
      <c r="D14" s="199"/>
      <c r="E14" s="94"/>
      <c r="F14" s="94"/>
      <c r="G14" s="94"/>
      <c r="H14" s="211"/>
      <c r="I14" s="164"/>
      <c r="J14" s="199"/>
      <c r="K14" s="211"/>
      <c r="L14" s="167"/>
      <c r="M14" s="199"/>
      <c r="N14" s="94"/>
      <c r="O14" s="211"/>
      <c r="P14" s="236"/>
      <c r="Q14" s="94"/>
      <c r="R14" s="101">
        <v>70580</v>
      </c>
      <c r="S14" s="91"/>
      <c r="T14" s="94"/>
      <c r="V14" s="97"/>
      <c r="W14" s="103"/>
      <c r="X14" s="97"/>
      <c r="Y14" s="99"/>
      <c r="AC14" s="321">
        <f t="shared" si="0"/>
        <v>0</v>
      </c>
      <c r="AD14" s="321"/>
      <c r="AE14" s="321">
        <f t="shared" si="1"/>
        <v>0</v>
      </c>
    </row>
    <row r="15" spans="1:31" s="92" customFormat="1" ht="18.75">
      <c r="A15" s="90"/>
      <c r="B15" s="87" t="s">
        <v>520</v>
      </c>
      <c r="C15" s="87"/>
      <c r="D15" s="198"/>
      <c r="E15" s="166"/>
      <c r="F15" s="166"/>
      <c r="G15" s="166"/>
      <c r="H15" s="208"/>
      <c r="I15" s="164"/>
      <c r="J15" s="212"/>
      <c r="K15" s="213"/>
      <c r="L15" s="176"/>
      <c r="M15" s="212"/>
      <c r="N15" s="175"/>
      <c r="O15" s="213"/>
      <c r="P15" s="234"/>
      <c r="Q15" s="87"/>
      <c r="R15" s="88" t="s">
        <v>435</v>
      </c>
      <c r="S15" s="90" t="s">
        <v>436</v>
      </c>
      <c r="T15" s="90" t="s">
        <v>437</v>
      </c>
      <c r="U15" s="90" t="s">
        <v>36</v>
      </c>
      <c r="V15" s="97" t="s">
        <v>439</v>
      </c>
      <c r="W15" s="98" t="s">
        <v>440</v>
      </c>
      <c r="X15" s="97"/>
      <c r="Y15" s="99"/>
      <c r="AA15" s="92" t="s">
        <v>520</v>
      </c>
      <c r="AC15" s="321">
        <f t="shared" si="0"/>
        <v>0</v>
      </c>
      <c r="AD15" s="321"/>
      <c r="AE15" s="321">
        <f t="shared" si="1"/>
        <v>0</v>
      </c>
    </row>
    <row r="16" spans="1:31" s="92" customFormat="1" ht="12.75">
      <c r="A16" s="97"/>
      <c r="B16" s="93" t="s">
        <v>441</v>
      </c>
      <c r="C16" s="93"/>
      <c r="D16" s="200"/>
      <c r="E16" s="165"/>
      <c r="F16" s="165"/>
      <c r="G16" s="165"/>
      <c r="H16" s="223"/>
      <c r="I16" s="178"/>
      <c r="J16" s="203"/>
      <c r="K16" s="210"/>
      <c r="L16" s="167"/>
      <c r="M16" s="203"/>
      <c r="N16" s="171"/>
      <c r="O16" s="210"/>
      <c r="P16" s="235"/>
      <c r="Q16" s="93"/>
      <c r="R16" s="104"/>
      <c r="V16" s="97"/>
      <c r="W16" s="100"/>
      <c r="X16" s="95"/>
      <c r="Y16" s="100"/>
      <c r="Z16" s="102"/>
      <c r="AA16" s="92" t="s">
        <v>441</v>
      </c>
      <c r="AC16" s="321">
        <f t="shared" si="0"/>
        <v>0</v>
      </c>
      <c r="AD16" s="321"/>
      <c r="AE16" s="321">
        <f t="shared" si="1"/>
        <v>0</v>
      </c>
    </row>
    <row r="17" spans="1:31" s="107" customFormat="1" ht="12.75">
      <c r="A17" s="114">
        <v>1000</v>
      </c>
      <c r="B17" s="105" t="s">
        <v>442</v>
      </c>
      <c r="C17" s="105"/>
      <c r="D17" s="200">
        <f>SUMIF('Budget14-15'!M:M,A17,'Budget14-15'!S:S)</f>
        <v>3741529</v>
      </c>
      <c r="E17" s="165">
        <f>SUMIF('Workings Prior Month'!O:O,A17,'Workings Prior Month'!C:C)</f>
        <v>3741529</v>
      </c>
      <c r="F17" s="165">
        <f>+E17-D17</f>
        <v>0</v>
      </c>
      <c r="G17" s="165">
        <f>+H17-E17</f>
        <v>0</v>
      </c>
      <c r="H17" s="223">
        <f>SUMIF(Workings!O:O,A17,Workings!C:C)</f>
        <v>3741529</v>
      </c>
      <c r="I17" s="178"/>
      <c r="J17" s="200">
        <f>SUMIF('Workings Prior Month'!O:O,A17,'Workings Prior Month'!C:C)-SUMIF('Workings Prior Month'!O:O,A17,'Workings Prior Month'!J:J)+SUMIF('Workings Prior Month'!O:O,A17,'Workings Prior Month'!K:K)</f>
        <v>3724820.75</v>
      </c>
      <c r="K17" s="208">
        <f>+H17-J17</f>
        <v>16708.25</v>
      </c>
      <c r="L17" s="164"/>
      <c r="M17" s="200">
        <f>SUMIF(Workings!O:O,A17,Workings!C:C)-SUMIF(Workings!O:O,A17,Workings!J:J)+SUMIF(Workings!O:O,A17,Workings!K:K)</f>
        <v>3728957.4099999997</v>
      </c>
      <c r="N17" s="166">
        <f>-K17+O17</f>
        <v>-4136.659999999683</v>
      </c>
      <c r="O17" s="208">
        <f>+H17-M17</f>
        <v>12571.590000000317</v>
      </c>
      <c r="P17" s="218" t="s">
        <v>775</v>
      </c>
      <c r="Q17" s="105"/>
      <c r="R17" s="108">
        <v>5068935</v>
      </c>
      <c r="S17" s="109">
        <f>54000+4248900+690085+52200</f>
        <v>5045185</v>
      </c>
      <c r="T17" s="110">
        <f>R17-S17</f>
        <v>23750</v>
      </c>
      <c r="U17" s="111" t="s">
        <v>443</v>
      </c>
      <c r="V17" s="111" t="e">
        <v>#VALUE!</v>
      </c>
      <c r="W17" s="112" t="e">
        <f>+U17-V17</f>
        <v>#VALUE!</v>
      </c>
      <c r="X17" s="113"/>
      <c r="Y17" s="114"/>
      <c r="Z17" s="107">
        <v>1000</v>
      </c>
      <c r="AA17" s="107" t="s">
        <v>442</v>
      </c>
      <c r="AB17" s="107">
        <v>4204108</v>
      </c>
      <c r="AC17" s="321">
        <f t="shared" si="0"/>
        <v>3741529</v>
      </c>
      <c r="AD17" s="321"/>
      <c r="AE17" s="321">
        <f t="shared" si="1"/>
        <v>462579</v>
      </c>
    </row>
    <row r="18" spans="1:31" s="107" customFormat="1" ht="12.75">
      <c r="A18" s="114"/>
      <c r="B18" s="105"/>
      <c r="C18" s="105"/>
      <c r="D18" s="200"/>
      <c r="E18" s="165"/>
      <c r="F18" s="165"/>
      <c r="G18" s="165"/>
      <c r="H18" s="223"/>
      <c r="I18" s="178"/>
      <c r="J18" s="200"/>
      <c r="K18" s="208"/>
      <c r="L18" s="164"/>
      <c r="M18" s="200"/>
      <c r="N18" s="166"/>
      <c r="O18" s="208"/>
      <c r="P18" s="218"/>
      <c r="Q18" s="105"/>
      <c r="R18" s="108">
        <v>24000</v>
      </c>
      <c r="S18" s="109">
        <v>25000</v>
      </c>
      <c r="T18" s="110">
        <f>R18-S18</f>
        <v>-1000</v>
      </c>
      <c r="U18" s="107" t="e">
        <v>#VALUE!</v>
      </c>
      <c r="V18" s="111" t="e">
        <v>#VALUE!</v>
      </c>
      <c r="W18" s="112"/>
      <c r="X18" s="113"/>
      <c r="Y18" s="114"/>
      <c r="AB18" s="107">
        <v>0</v>
      </c>
      <c r="AC18" s="321">
        <f t="shared" si="0"/>
        <v>0</v>
      </c>
      <c r="AD18" s="321"/>
      <c r="AE18" s="321">
        <f t="shared" si="1"/>
        <v>0</v>
      </c>
    </row>
    <row r="19" spans="1:31" s="107" customFormat="1" ht="13.5" thickBot="1">
      <c r="A19" s="114"/>
      <c r="B19" s="105"/>
      <c r="C19" s="105"/>
      <c r="D19" s="201">
        <f>SUM(D17:D18)</f>
        <v>3741529</v>
      </c>
      <c r="E19" s="179">
        <f>SUM(E17:E18)</f>
        <v>3741529</v>
      </c>
      <c r="F19" s="179">
        <f>SUM(F17:F18)</f>
        <v>0</v>
      </c>
      <c r="G19" s="179">
        <f>SUM(G17:G18)</f>
        <v>0</v>
      </c>
      <c r="H19" s="214">
        <f>SUM(H17:H18)</f>
        <v>3741529</v>
      </c>
      <c r="I19" s="178"/>
      <c r="J19" s="201">
        <f>SUM(J17:J18)</f>
        <v>3724820.75</v>
      </c>
      <c r="K19" s="214">
        <f>SUM(K17:K18)</f>
        <v>16708.25</v>
      </c>
      <c r="L19" s="178"/>
      <c r="M19" s="201">
        <f>SUM(M17:M18)</f>
        <v>3728957.4099999997</v>
      </c>
      <c r="N19" s="179">
        <f>SUM(N17:N18)</f>
        <v>-4136.659999999683</v>
      </c>
      <c r="O19" s="214">
        <f>SUM(O17:O18)</f>
        <v>12571.590000000317</v>
      </c>
      <c r="P19" s="218"/>
      <c r="Q19" s="105"/>
      <c r="R19" s="115">
        <v>5092935</v>
      </c>
      <c r="S19" s="116">
        <f>SUM(S17:S18)</f>
        <v>5070185</v>
      </c>
      <c r="T19" s="117">
        <f>R19-S19</f>
        <v>22750</v>
      </c>
      <c r="V19" s="113"/>
      <c r="W19" s="112"/>
      <c r="X19" s="113"/>
      <c r="Y19" s="114"/>
      <c r="AB19" s="107">
        <v>4204108</v>
      </c>
      <c r="AC19" s="321">
        <f t="shared" si="0"/>
        <v>3741529</v>
      </c>
      <c r="AD19" s="321"/>
      <c r="AE19" s="321">
        <f t="shared" si="1"/>
        <v>462579</v>
      </c>
    </row>
    <row r="20" spans="1:31" s="107" customFormat="1" ht="12.75">
      <c r="A20" s="114"/>
      <c r="B20" s="118" t="s">
        <v>445</v>
      </c>
      <c r="C20" s="118"/>
      <c r="D20" s="198"/>
      <c r="E20" s="166"/>
      <c r="F20" s="166"/>
      <c r="G20" s="166"/>
      <c r="H20" s="208"/>
      <c r="I20" s="164"/>
      <c r="J20" s="203"/>
      <c r="K20" s="210"/>
      <c r="L20" s="167"/>
      <c r="M20" s="203"/>
      <c r="N20" s="171"/>
      <c r="O20" s="210"/>
      <c r="P20" s="237"/>
      <c r="Q20" s="118"/>
      <c r="R20" s="119"/>
      <c r="S20" s="120"/>
      <c r="T20" s="121"/>
      <c r="V20" s="113"/>
      <c r="W20" s="112"/>
      <c r="X20" s="122"/>
      <c r="Y20" s="123"/>
      <c r="AA20" s="107" t="s">
        <v>445</v>
      </c>
      <c r="AC20" s="321">
        <f t="shared" si="0"/>
        <v>0</v>
      </c>
      <c r="AD20" s="321"/>
      <c r="AE20" s="321">
        <f t="shared" si="1"/>
        <v>0</v>
      </c>
    </row>
    <row r="21" spans="1:31" s="107" customFormat="1" ht="12.75">
      <c r="A21" s="114"/>
      <c r="B21" s="118"/>
      <c r="C21" s="118"/>
      <c r="D21" s="198"/>
      <c r="E21" s="166"/>
      <c r="F21" s="166"/>
      <c r="G21" s="166"/>
      <c r="H21" s="208"/>
      <c r="I21" s="164"/>
      <c r="J21" s="203"/>
      <c r="K21" s="210"/>
      <c r="L21" s="167"/>
      <c r="M21" s="203"/>
      <c r="N21" s="171"/>
      <c r="O21" s="210"/>
      <c r="P21" s="237"/>
      <c r="Q21" s="118"/>
      <c r="R21" s="119"/>
      <c r="S21" s="120"/>
      <c r="T21" s="121"/>
      <c r="V21" s="113"/>
      <c r="W21" s="112"/>
      <c r="X21" s="122"/>
      <c r="Y21" s="123"/>
      <c r="AC21" s="321">
        <f t="shared" si="0"/>
        <v>0</v>
      </c>
      <c r="AD21" s="321"/>
      <c r="AE21" s="321">
        <f t="shared" si="1"/>
        <v>0</v>
      </c>
    </row>
    <row r="22" spans="1:31" s="107" customFormat="1" ht="12.75">
      <c r="A22" s="114">
        <v>1200</v>
      </c>
      <c r="B22" s="105" t="s">
        <v>444</v>
      </c>
      <c r="C22" s="105"/>
      <c r="D22" s="200">
        <f>SUMIF('Budget14-15'!M:M,A22,'Budget14-15'!S:S)</f>
        <v>20000</v>
      </c>
      <c r="E22" s="165">
        <f>SUMIF('Workings Prior Month'!O:O,A22,'Workings Prior Month'!C:C)</f>
        <v>20000</v>
      </c>
      <c r="F22" s="165">
        <f>+E22-D22</f>
        <v>0</v>
      </c>
      <c r="G22" s="165">
        <f>+H22-E22</f>
        <v>0</v>
      </c>
      <c r="H22" s="208">
        <f>SUMIF(Workings!O:O,A22,Workings!C:C)</f>
        <v>20000</v>
      </c>
      <c r="I22" s="164"/>
      <c r="J22" s="200">
        <f>SUMIF('Workings Prior Month'!O:O,A22,'Workings Prior Month'!C:C)-SUMIF('Workings Prior Month'!O:O,A22,'Workings Prior Month'!J:J)+SUMIF('Workings Prior Month'!O:O,A22,'Workings Prior Month'!K:K)</f>
        <v>20000</v>
      </c>
      <c r="K22" s="208">
        <f>+H22-J22</f>
        <v>0</v>
      </c>
      <c r="L22" s="164"/>
      <c r="M22" s="200">
        <f>SUMIF(Workings!O:O,A22,Workings!C:C)-SUMIF(Workings!O:O,A22,Workings!J:J)+SUMIF(Workings!O:O,A22,Workings!K:K)</f>
        <v>16696.88</v>
      </c>
      <c r="N22" s="166">
        <f>-K22+O22</f>
        <v>3303.119999999999</v>
      </c>
      <c r="O22" s="208">
        <f>+H22-M22</f>
        <v>3303.119999999999</v>
      </c>
      <c r="P22" s="218" t="s">
        <v>783</v>
      </c>
      <c r="Q22" s="105"/>
      <c r="R22" s="108">
        <v>21625</v>
      </c>
      <c r="S22" s="109">
        <v>0</v>
      </c>
      <c r="T22" s="110">
        <f aca="true" t="shared" si="2" ref="T22:T27">R22-S22</f>
        <v>21625</v>
      </c>
      <c r="V22" s="113"/>
      <c r="W22" s="112"/>
      <c r="X22" s="113"/>
      <c r="Y22" s="114"/>
      <c r="Z22" s="107">
        <v>1200</v>
      </c>
      <c r="AA22" s="107" t="s">
        <v>444</v>
      </c>
      <c r="AB22" s="107">
        <v>30000</v>
      </c>
      <c r="AC22" s="321">
        <f t="shared" si="0"/>
        <v>20000</v>
      </c>
      <c r="AD22" s="321"/>
      <c r="AE22" s="321">
        <f t="shared" si="1"/>
        <v>10000</v>
      </c>
    </row>
    <row r="23" spans="1:31" s="107" customFormat="1" ht="12.75">
      <c r="A23" s="114">
        <v>1220</v>
      </c>
      <c r="B23" s="105" t="s">
        <v>494</v>
      </c>
      <c r="C23" s="105"/>
      <c r="D23" s="200">
        <f>SUMIF('Budget14-15'!M:M,A23,'Budget14-15'!S:S)</f>
        <v>531886</v>
      </c>
      <c r="E23" s="165">
        <f>SUMIF('Workings Prior Month'!O:O,A23,'Workings Prior Month'!C:C)</f>
        <v>531886</v>
      </c>
      <c r="F23" s="165">
        <f>+E23-D23</f>
        <v>0</v>
      </c>
      <c r="G23" s="165">
        <f>+H23-E23</f>
        <v>17000</v>
      </c>
      <c r="H23" s="208">
        <f>SUMIF(Workings!O:O,A23,Workings!C:C)</f>
        <v>548886</v>
      </c>
      <c r="I23" s="164"/>
      <c r="J23" s="200">
        <f>SUMIF('Workings Prior Month'!O:O,A23,'Workings Prior Month'!C:C)-SUMIF('Workings Prior Month'!O:O,A23,'Workings Prior Month'!J:J)+SUMIF('Workings Prior Month'!O:O,A23,'Workings Prior Month'!K:K)</f>
        <v>542318.44</v>
      </c>
      <c r="K23" s="208">
        <f>+H23-J23</f>
        <v>6567.560000000056</v>
      </c>
      <c r="L23" s="164"/>
      <c r="M23" s="200">
        <f>SUMIF(Workings!O:O,A23,Workings!C:C)-SUMIF(Workings!O:O,A23,Workings!J:J)+SUMIF(Workings!O:O,A23,Workings!K:K)</f>
        <v>573821.92</v>
      </c>
      <c r="N23" s="166">
        <f>-K23+O23</f>
        <v>-31503.480000000098</v>
      </c>
      <c r="O23" s="208">
        <f>+H23-M23</f>
        <v>-24935.920000000042</v>
      </c>
      <c r="P23" s="218" t="s">
        <v>776</v>
      </c>
      <c r="Q23" s="105"/>
      <c r="R23" s="108">
        <f>668894-21625</f>
        <v>647269</v>
      </c>
      <c r="S23" s="109">
        <f>8959+14862+56475+172792+208390+45286+47460</f>
        <v>554224</v>
      </c>
      <c r="T23" s="110">
        <f t="shared" si="2"/>
        <v>93045</v>
      </c>
      <c r="V23" s="113"/>
      <c r="W23" s="114"/>
      <c r="X23" s="113"/>
      <c r="Y23" s="114"/>
      <c r="Z23" s="107">
        <v>1220</v>
      </c>
      <c r="AA23" s="107" t="s">
        <v>494</v>
      </c>
      <c r="AB23" s="107">
        <v>628207</v>
      </c>
      <c r="AC23" s="321">
        <f t="shared" si="0"/>
        <v>531886</v>
      </c>
      <c r="AD23" s="321"/>
      <c r="AE23" s="321">
        <f t="shared" si="1"/>
        <v>96321</v>
      </c>
    </row>
    <row r="24" spans="1:31" s="107" customFormat="1" ht="12.75">
      <c r="A24" s="114">
        <v>1230</v>
      </c>
      <c r="B24" s="105" t="s">
        <v>446</v>
      </c>
      <c r="C24" s="105"/>
      <c r="D24" s="200">
        <f>SUMIF('Budget14-15'!M:M,A24,'Budget14-15'!S:S)</f>
        <v>352021</v>
      </c>
      <c r="E24" s="165">
        <f>SUMIF('Workings Prior Month'!O:O,A24,'Workings Prior Month'!C:C)</f>
        <v>352021</v>
      </c>
      <c r="F24" s="165">
        <f>+E24-D24</f>
        <v>0</v>
      </c>
      <c r="G24" s="165">
        <f>+H24-E24</f>
        <v>0</v>
      </c>
      <c r="H24" s="208">
        <f>SUMIF(Workings!O:O,A24,Workings!C:C)</f>
        <v>352021</v>
      </c>
      <c r="I24" s="164"/>
      <c r="J24" s="200">
        <f>SUMIF('Workings Prior Month'!O:O,A24,'Workings Prior Month'!C:C)-SUMIF('Workings Prior Month'!O:O,A24,'Workings Prior Month'!J:J)+SUMIF('Workings Prior Month'!O:O,A24,'Workings Prior Month'!K:K)</f>
        <v>348791.09</v>
      </c>
      <c r="K24" s="208">
        <f>+H24-J24</f>
        <v>3229.9099999999744</v>
      </c>
      <c r="L24" s="164"/>
      <c r="M24" s="200">
        <f>SUMIF(Workings!O:O,A24,Workings!C:C)-SUMIF(Workings!O:O,A24,Workings!J:J)+SUMIF(Workings!O:O,A24,Workings!K:K)</f>
        <v>335286.37</v>
      </c>
      <c r="N24" s="166">
        <f>-K24+O24</f>
        <v>13504.72000000003</v>
      </c>
      <c r="O24" s="208">
        <f>+H24-M24</f>
        <v>16734.630000000005</v>
      </c>
      <c r="P24" s="236" t="s">
        <v>777</v>
      </c>
      <c r="Q24" s="105"/>
      <c r="R24" s="108">
        <v>348412</v>
      </c>
      <c r="S24" s="109">
        <f>149406+152400+76337+4000</f>
        <v>382143</v>
      </c>
      <c r="T24" s="110">
        <f t="shared" si="2"/>
        <v>-33731</v>
      </c>
      <c r="V24" s="113"/>
      <c r="W24" s="112"/>
      <c r="X24" s="113"/>
      <c r="Y24" s="114"/>
      <c r="Z24" s="107">
        <v>1230</v>
      </c>
      <c r="AA24" s="107" t="s">
        <v>446</v>
      </c>
      <c r="AB24" s="107">
        <v>346026</v>
      </c>
      <c r="AC24" s="321">
        <f t="shared" si="0"/>
        <v>352021</v>
      </c>
      <c r="AD24" s="321"/>
      <c r="AE24" s="321">
        <f t="shared" si="1"/>
        <v>-5995</v>
      </c>
    </row>
    <row r="25" spans="1:31" s="107" customFormat="1" ht="12.75">
      <c r="A25" s="114">
        <v>1240</v>
      </c>
      <c r="B25" s="105" t="s">
        <v>447</v>
      </c>
      <c r="C25" s="105"/>
      <c r="D25" s="200">
        <f>SUMIF('Budget14-15'!M:M,A25,'Budget14-15'!S:S)</f>
        <v>92000</v>
      </c>
      <c r="E25" s="165">
        <f>SUMIF('Workings Prior Month'!O:O,A25,'Workings Prior Month'!C:C)</f>
        <v>92000</v>
      </c>
      <c r="F25" s="165">
        <f>+E25-D25</f>
        <v>0</v>
      </c>
      <c r="G25" s="165">
        <f>+H25-E25</f>
        <v>0</v>
      </c>
      <c r="H25" s="208">
        <f>SUMIF(Workings!O:O,A25,Workings!C:C)</f>
        <v>92000</v>
      </c>
      <c r="I25" s="164"/>
      <c r="J25" s="200">
        <f>SUMIF('Workings Prior Month'!O:O,A25,'Workings Prior Month'!C:C)-SUMIF('Workings Prior Month'!O:O,A25,'Workings Prior Month'!J:J)+SUMIF('Workings Prior Month'!O:O,A25,'Workings Prior Month'!K:K)</f>
        <v>93198.38</v>
      </c>
      <c r="K25" s="208">
        <f>+H25-J25</f>
        <v>-1198.3800000000047</v>
      </c>
      <c r="L25" s="164"/>
      <c r="M25" s="200">
        <f>SUMIF(Workings!O:O,A25,Workings!C:C)-SUMIF(Workings!O:O,A25,Workings!J:J)+SUMIF(Workings!O:O,A25,Workings!K:K)</f>
        <v>94533.69</v>
      </c>
      <c r="N25" s="166">
        <f>-K25+O25</f>
        <v>-1335.3099999999977</v>
      </c>
      <c r="O25" s="208">
        <f>+H25-M25</f>
        <v>-2533.6900000000023</v>
      </c>
      <c r="P25" s="218" t="s">
        <v>778</v>
      </c>
      <c r="Q25" s="105"/>
      <c r="R25" s="108">
        <v>86179</v>
      </c>
      <c r="S25" s="109">
        <v>0</v>
      </c>
      <c r="T25" s="110">
        <f t="shared" si="2"/>
        <v>86179</v>
      </c>
      <c r="V25" s="113"/>
      <c r="W25" s="123"/>
      <c r="X25" s="113"/>
      <c r="Y25" s="114"/>
      <c r="Z25" s="107">
        <v>1240</v>
      </c>
      <c r="AA25" s="107" t="s">
        <v>447</v>
      </c>
      <c r="AB25" s="107">
        <v>92000</v>
      </c>
      <c r="AC25" s="321">
        <f t="shared" si="0"/>
        <v>92000</v>
      </c>
      <c r="AD25" s="321"/>
      <c r="AE25" s="321">
        <f t="shared" si="1"/>
        <v>0</v>
      </c>
    </row>
    <row r="26" spans="1:31" s="107" customFormat="1" ht="12.75">
      <c r="A26" s="114">
        <v>1250</v>
      </c>
      <c r="B26" s="105" t="s">
        <v>448</v>
      </c>
      <c r="C26" s="105"/>
      <c r="D26" s="200">
        <f>SUMIF('Budget14-15'!M:M,A26,'Budget14-15'!S:S)</f>
        <v>0</v>
      </c>
      <c r="E26" s="165">
        <f>SUMIF('Workings Prior Month'!O:O,A26,'Workings Prior Month'!C:C)</f>
        <v>0</v>
      </c>
      <c r="F26" s="165">
        <f>+E26-D26</f>
        <v>0</v>
      </c>
      <c r="G26" s="165">
        <f>+H26-E26</f>
        <v>0</v>
      </c>
      <c r="H26" s="208">
        <f>SUMIF(Workings!O:O,A26,Workings!C:C)</f>
        <v>0</v>
      </c>
      <c r="I26" s="164"/>
      <c r="J26" s="200">
        <f>SUMIF('Workings Prior Month'!O:O,A26,'Workings Prior Month'!C:C)-SUMIF('Workings Prior Month'!O:O,A26,'Workings Prior Month'!J:J)+SUMIF('Workings Prior Month'!O:O,A26,'Workings Prior Month'!K:K)</f>
        <v>0</v>
      </c>
      <c r="K26" s="208">
        <f>+H26-J26</f>
        <v>0</v>
      </c>
      <c r="L26" s="164"/>
      <c r="M26" s="200">
        <f>SUMIF(Workings!O:O,A26,Workings!C:C)-SUMIF(Workings!O:O,A26,Workings!J:J)+SUMIF(Workings!O:O,A26,Workings!K:K)</f>
        <v>0</v>
      </c>
      <c r="N26" s="166">
        <f>-K26+O26</f>
        <v>0</v>
      </c>
      <c r="O26" s="208">
        <f>+H26-M26</f>
        <v>0</v>
      </c>
      <c r="P26" s="218"/>
      <c r="Q26" s="105"/>
      <c r="R26" s="108">
        <v>51549</v>
      </c>
      <c r="S26" s="109">
        <v>74490</v>
      </c>
      <c r="T26" s="110">
        <f t="shared" si="2"/>
        <v>-22941</v>
      </c>
      <c r="V26" s="122"/>
      <c r="W26" s="114"/>
      <c r="X26" s="122"/>
      <c r="Y26" s="123"/>
      <c r="Z26" s="107">
        <v>1250</v>
      </c>
      <c r="AA26" s="107" t="s">
        <v>448</v>
      </c>
      <c r="AB26" s="107">
        <v>0</v>
      </c>
      <c r="AC26" s="321">
        <f t="shared" si="0"/>
        <v>0</v>
      </c>
      <c r="AD26" s="321"/>
      <c r="AE26" s="321">
        <f t="shared" si="1"/>
        <v>0</v>
      </c>
    </row>
    <row r="27" spans="1:31" s="107" customFormat="1" ht="13.5" thickBot="1">
      <c r="A27" s="114"/>
      <c r="B27" s="105"/>
      <c r="C27" s="105"/>
      <c r="D27" s="197">
        <f>SUM(D22:D26)</f>
        <v>995907</v>
      </c>
      <c r="E27" s="169">
        <f>SUM(E22:E26)</f>
        <v>995907</v>
      </c>
      <c r="F27" s="169">
        <f>SUM(F22:F26)</f>
        <v>0</v>
      </c>
      <c r="G27" s="169">
        <f>SUM(G22:G26)</f>
        <v>17000</v>
      </c>
      <c r="H27" s="209">
        <f>SUM(H22:H26)</f>
        <v>1012907</v>
      </c>
      <c r="I27" s="164"/>
      <c r="J27" s="197">
        <f>SUM(J22:J26)</f>
        <v>1004307.91</v>
      </c>
      <c r="K27" s="209">
        <f>SUM(K22:K26)</f>
        <v>8599.090000000026</v>
      </c>
      <c r="L27" s="164"/>
      <c r="M27" s="197">
        <f>SUM(M22:M26)</f>
        <v>1020338.8600000001</v>
      </c>
      <c r="N27" s="169">
        <f>SUM(N22:N26)</f>
        <v>-16030.950000000066</v>
      </c>
      <c r="O27" s="209">
        <f>SUM(O22:O26)</f>
        <v>-7431.860000000041</v>
      </c>
      <c r="P27" s="218"/>
      <c r="Q27" s="105"/>
      <c r="R27" s="115">
        <v>1155034</v>
      </c>
      <c r="S27" s="124">
        <f>SUM(S23:S26)</f>
        <v>1010857</v>
      </c>
      <c r="T27" s="125">
        <f t="shared" si="2"/>
        <v>144177</v>
      </c>
      <c r="V27" s="113"/>
      <c r="W27" s="123"/>
      <c r="X27" s="113"/>
      <c r="Y27" s="114"/>
      <c r="AB27" s="107">
        <v>1096233</v>
      </c>
      <c r="AC27" s="321">
        <f t="shared" si="0"/>
        <v>995907</v>
      </c>
      <c r="AD27" s="321"/>
      <c r="AE27" s="321">
        <f t="shared" si="1"/>
        <v>100326</v>
      </c>
    </row>
    <row r="28" spans="1:31" s="107" customFormat="1" ht="12.75">
      <c r="A28" s="123"/>
      <c r="B28" s="118" t="s">
        <v>449</v>
      </c>
      <c r="C28" s="118"/>
      <c r="D28" s="198"/>
      <c r="E28" s="166"/>
      <c r="F28" s="166"/>
      <c r="G28" s="166"/>
      <c r="H28" s="208"/>
      <c r="I28" s="164"/>
      <c r="J28" s="203"/>
      <c r="K28" s="210"/>
      <c r="L28" s="167"/>
      <c r="M28" s="203"/>
      <c r="N28" s="171"/>
      <c r="O28" s="210"/>
      <c r="P28" s="237"/>
      <c r="Q28" s="118"/>
      <c r="R28" s="108"/>
      <c r="S28" s="109"/>
      <c r="T28" s="110"/>
      <c r="V28" s="113"/>
      <c r="W28" s="112"/>
      <c r="X28" s="113"/>
      <c r="Y28" s="114"/>
      <c r="AA28" s="107" t="s">
        <v>449</v>
      </c>
      <c r="AC28" s="321">
        <f t="shared" si="0"/>
        <v>0</v>
      </c>
      <c r="AD28" s="321"/>
      <c r="AE28" s="321">
        <f t="shared" si="1"/>
        <v>0</v>
      </c>
    </row>
    <row r="29" spans="1:31" s="107" customFormat="1" ht="12.75">
      <c r="A29" s="114">
        <v>1300</v>
      </c>
      <c r="B29" s="105" t="s">
        <v>450</v>
      </c>
      <c r="C29" s="105"/>
      <c r="D29" s="200">
        <f>SUMIF('Budget14-15'!M:M,A29,'Budget14-15'!S:S)</f>
        <v>520424</v>
      </c>
      <c r="E29" s="165">
        <f>SUMIF('Workings Prior Month'!O:O,A29,'Workings Prior Month'!C:C)</f>
        <v>520424</v>
      </c>
      <c r="F29" s="165">
        <f>+E29-D29</f>
        <v>0</v>
      </c>
      <c r="G29" s="165">
        <f>+H29-E29</f>
        <v>-3000</v>
      </c>
      <c r="H29" s="208">
        <f>SUMIF(Workings!O:O,A29,Workings!C:C)</f>
        <v>517424</v>
      </c>
      <c r="I29" s="164"/>
      <c r="J29" s="200">
        <f>SUMIF('Workings Prior Month'!O:O,A29,'Workings Prior Month'!C:C)-SUMIF('Workings Prior Month'!O:O,A29,'Workings Prior Month'!J:J)+SUMIF('Workings Prior Month'!O:O,A29,'Workings Prior Month'!K:K)</f>
        <v>515923.03</v>
      </c>
      <c r="K29" s="208">
        <f>+H29-J29</f>
        <v>1500.969999999972</v>
      </c>
      <c r="L29" s="164"/>
      <c r="M29" s="200">
        <f>SUMIF(Workings!O:O,A29,Workings!C:C)-SUMIF(Workings!O:O,A29,Workings!J:J)+SUMIF(Workings!O:O,A29,Workings!K:K)</f>
        <v>517424</v>
      </c>
      <c r="N29" s="166">
        <f>-K29+O29</f>
        <v>-1500.969999999972</v>
      </c>
      <c r="O29" s="208">
        <f>+H29-M29</f>
        <v>0</v>
      </c>
      <c r="P29" s="218" t="s">
        <v>779</v>
      </c>
      <c r="Q29" s="105"/>
      <c r="R29" s="108">
        <v>511087</v>
      </c>
      <c r="S29" s="109">
        <v>511276</v>
      </c>
      <c r="T29" s="110">
        <f>R29-S29</f>
        <v>-189</v>
      </c>
      <c r="V29" s="113"/>
      <c r="W29" s="112"/>
      <c r="X29" s="113"/>
      <c r="Y29" s="114"/>
      <c r="Z29" s="107">
        <v>1300</v>
      </c>
      <c r="AA29" s="107" t="s">
        <v>450</v>
      </c>
      <c r="AB29" s="107">
        <v>546294</v>
      </c>
      <c r="AC29" s="321">
        <f t="shared" si="0"/>
        <v>520424</v>
      </c>
      <c r="AD29" s="321"/>
      <c r="AE29" s="321">
        <f t="shared" si="1"/>
        <v>25870</v>
      </c>
    </row>
    <row r="30" spans="1:31" s="107" customFormat="1" ht="12.75">
      <c r="A30" s="114">
        <v>1310</v>
      </c>
      <c r="B30" s="105" t="s">
        <v>68</v>
      </c>
      <c r="C30" s="105"/>
      <c r="D30" s="200">
        <f>SUMIF('Budget14-15'!M:M,A30,'Budget14-15'!S:S)</f>
        <v>144622</v>
      </c>
      <c r="E30" s="165">
        <f>SUMIF('Workings Prior Month'!O:O,A30,'Workings Prior Month'!C:C)</f>
        <v>144622</v>
      </c>
      <c r="F30" s="165">
        <f>+E30-D30</f>
        <v>0</v>
      </c>
      <c r="G30" s="165">
        <f>+H30-E30</f>
        <v>3000</v>
      </c>
      <c r="H30" s="208">
        <f>SUMIF(Workings!O:O,A30,Workings!C:C)</f>
        <v>147622</v>
      </c>
      <c r="I30" s="164"/>
      <c r="J30" s="200">
        <f>SUMIF('Workings Prior Month'!O:O,A30,'Workings Prior Month'!C:C)-SUMIF('Workings Prior Month'!O:O,A30,'Workings Prior Month'!J:J)+SUMIF('Workings Prior Month'!O:O,A30,'Workings Prior Month'!K:K)</f>
        <v>146456.8</v>
      </c>
      <c r="K30" s="208">
        <f>+H30-J30</f>
        <v>1165.2000000000116</v>
      </c>
      <c r="L30" s="164"/>
      <c r="M30" s="200">
        <f>SUMIF(Workings!O:O,A30,Workings!C:C)-SUMIF(Workings!O:O,A30,Workings!J:J)+SUMIF(Workings!O:O,A30,Workings!K:K)</f>
        <v>148369.99</v>
      </c>
      <c r="N30" s="166">
        <f>-K30+O30</f>
        <v>-1913.1900000000023</v>
      </c>
      <c r="O30" s="208">
        <f>+H30-M30</f>
        <v>-747.9899999999907</v>
      </c>
      <c r="P30" s="236" t="s">
        <v>780</v>
      </c>
      <c r="Q30" s="105"/>
      <c r="R30" s="108">
        <v>164589</v>
      </c>
      <c r="S30" s="109">
        <v>184734</v>
      </c>
      <c r="T30" s="110">
        <f>R30-S30</f>
        <v>-20145</v>
      </c>
      <c r="V30" s="113"/>
      <c r="W30" s="112"/>
      <c r="X30" s="113"/>
      <c r="Y30" s="114"/>
      <c r="Z30" s="107">
        <v>1310</v>
      </c>
      <c r="AA30" s="107" t="s">
        <v>68</v>
      </c>
      <c r="AB30" s="107">
        <v>169325</v>
      </c>
      <c r="AC30" s="321">
        <f t="shared" si="0"/>
        <v>144622</v>
      </c>
      <c r="AD30" s="321"/>
      <c r="AE30" s="321">
        <f t="shared" si="1"/>
        <v>24703</v>
      </c>
    </row>
    <row r="31" spans="1:31" s="107" customFormat="1" ht="12.75">
      <c r="A31" s="114">
        <v>1320</v>
      </c>
      <c r="B31" s="105" t="s">
        <v>65</v>
      </c>
      <c r="C31" s="105"/>
      <c r="D31" s="200">
        <f>SUMIF('Budget14-15'!M:M,A31,'Budget14-15'!S:S)</f>
        <v>0</v>
      </c>
      <c r="E31" s="165">
        <f>SUMIF('Workings Prior Month'!O:O,A31,'Workings Prior Month'!C:C)</f>
        <v>0</v>
      </c>
      <c r="F31" s="165">
        <f>+E31-D31</f>
        <v>0</v>
      </c>
      <c r="G31" s="165">
        <f>+H31-E31</f>
        <v>0</v>
      </c>
      <c r="H31" s="208">
        <f>SUMIF(Workings!O:O,A31,Workings!C:C)</f>
        <v>0</v>
      </c>
      <c r="I31" s="164"/>
      <c r="J31" s="200">
        <f>SUMIF('Workings Prior Month'!O:O,A31,'Workings Prior Month'!C:C)-SUMIF('Workings Prior Month'!O:O,A31,'Workings Prior Month'!J:J)+SUMIF('Workings Prior Month'!O:O,A31,'Workings Prior Month'!K:K)</f>
        <v>0</v>
      </c>
      <c r="K31" s="208">
        <f>+H31-J31</f>
        <v>0</v>
      </c>
      <c r="L31" s="164"/>
      <c r="M31" s="200">
        <f>SUMIF(Workings!O:O,A31,Workings!C:C)-SUMIF(Workings!O:O,A31,Workings!J:J)+SUMIF(Workings!O:O,A31,Workings!K:K)</f>
        <v>0</v>
      </c>
      <c r="N31" s="166">
        <f>-K31+O31</f>
        <v>0</v>
      </c>
      <c r="O31" s="208">
        <f>+H31-M31</f>
        <v>0</v>
      </c>
      <c r="P31" s="218"/>
      <c r="Q31" s="105"/>
      <c r="R31" s="108">
        <v>90705</v>
      </c>
      <c r="S31" s="109">
        <f>86724+2279</f>
        <v>89003</v>
      </c>
      <c r="T31" s="110">
        <f>R31-S31</f>
        <v>1702</v>
      </c>
      <c r="V31" s="113"/>
      <c r="W31" s="126"/>
      <c r="X31" s="113"/>
      <c r="Y31" s="114"/>
      <c r="Z31" s="107">
        <v>1320</v>
      </c>
      <c r="AA31" s="107" t="s">
        <v>65</v>
      </c>
      <c r="AB31" s="107">
        <v>0</v>
      </c>
      <c r="AC31" s="321">
        <f t="shared" si="0"/>
        <v>0</v>
      </c>
      <c r="AD31" s="321"/>
      <c r="AE31" s="321">
        <f t="shared" si="1"/>
        <v>0</v>
      </c>
    </row>
    <row r="32" spans="1:31" s="107" customFormat="1" ht="12.75">
      <c r="A32" s="114"/>
      <c r="B32" s="105"/>
      <c r="C32" s="105"/>
      <c r="D32" s="201">
        <f>SUM(D29:D31)</f>
        <v>665046</v>
      </c>
      <c r="E32" s="179">
        <f>SUM(E29:E31)</f>
        <v>665046</v>
      </c>
      <c r="F32" s="179">
        <f>SUM(F29:F31)</f>
        <v>0</v>
      </c>
      <c r="G32" s="179">
        <f>SUM(G29:G31)</f>
        <v>0</v>
      </c>
      <c r="H32" s="214">
        <f>SUM(H29:H31)</f>
        <v>665046</v>
      </c>
      <c r="I32" s="178"/>
      <c r="J32" s="201">
        <f>SUM(J29:J31)</f>
        <v>662379.8300000001</v>
      </c>
      <c r="K32" s="214">
        <f>SUM(K29:K31)</f>
        <v>2666.1699999999837</v>
      </c>
      <c r="L32" s="178"/>
      <c r="M32" s="201">
        <f>SUM(M29:M31)</f>
        <v>665793.99</v>
      </c>
      <c r="N32" s="179">
        <f>SUM(N29:N31)</f>
        <v>-3414.1599999999744</v>
      </c>
      <c r="O32" s="214">
        <f>SUM(O29:O31)</f>
        <v>-747.9899999999907</v>
      </c>
      <c r="P32" s="218"/>
      <c r="Q32" s="105"/>
      <c r="R32" s="108"/>
      <c r="S32" s="109"/>
      <c r="T32" s="110"/>
      <c r="V32" s="113"/>
      <c r="W32" s="126"/>
      <c r="X32" s="113"/>
      <c r="Y32" s="114"/>
      <c r="AB32" s="107">
        <v>715619</v>
      </c>
      <c r="AC32" s="321">
        <f t="shared" si="0"/>
        <v>665046</v>
      </c>
      <c r="AD32" s="321"/>
      <c r="AE32" s="321">
        <f t="shared" si="1"/>
        <v>50573</v>
      </c>
    </row>
    <row r="33" spans="1:31" s="107" customFormat="1" ht="12.75">
      <c r="A33" s="123"/>
      <c r="B33" s="118" t="s">
        <v>451</v>
      </c>
      <c r="C33" s="118"/>
      <c r="D33" s="198"/>
      <c r="E33" s="166"/>
      <c r="F33" s="166"/>
      <c r="G33" s="166"/>
      <c r="H33" s="208"/>
      <c r="I33" s="164"/>
      <c r="J33" s="203"/>
      <c r="K33" s="210"/>
      <c r="L33" s="167"/>
      <c r="M33" s="203"/>
      <c r="N33" s="171"/>
      <c r="O33" s="210"/>
      <c r="P33" s="237"/>
      <c r="Q33" s="118"/>
      <c r="R33" s="108" t="s">
        <v>452</v>
      </c>
      <c r="S33" s="109"/>
      <c r="T33" s="110"/>
      <c r="V33" s="113"/>
      <c r="W33" s="126"/>
      <c r="X33" s="113"/>
      <c r="Y33" s="114"/>
      <c r="AA33" s="107" t="s">
        <v>451</v>
      </c>
      <c r="AC33" s="321">
        <f t="shared" si="0"/>
        <v>0</v>
      </c>
      <c r="AD33" s="321"/>
      <c r="AE33" s="321">
        <f t="shared" si="1"/>
        <v>0</v>
      </c>
    </row>
    <row r="34" spans="1:31" s="107" customFormat="1" ht="12.75">
      <c r="A34" s="114">
        <v>1400</v>
      </c>
      <c r="B34" s="105" t="s">
        <v>453</v>
      </c>
      <c r="C34" s="105"/>
      <c r="D34" s="200">
        <f>SUMIF('Budget14-15'!M:M,A34,'Budget14-15'!S:S)</f>
        <v>0</v>
      </c>
      <c r="E34" s="165">
        <f>SUMIF('Workings Prior Month'!O:O,A34,'Workings Prior Month'!C:C)</f>
        <v>0</v>
      </c>
      <c r="F34" s="165">
        <f>+E34-D34</f>
        <v>0</v>
      </c>
      <c r="G34" s="165">
        <f>+H34-E34</f>
        <v>0</v>
      </c>
      <c r="H34" s="208">
        <f>SUMIF(Workings!O:O,A34,Workings!C:C)</f>
        <v>0</v>
      </c>
      <c r="I34" s="164"/>
      <c r="J34" s="200">
        <f>SUMIF('Workings Prior Month'!O:O,A34,'Workings Prior Month'!C:C)-SUMIF('Workings Prior Month'!O:O,A34,'Workings Prior Month'!J:J)+SUMIF('Workings Prior Month'!O:O,A34,'Workings Prior Month'!K:K)</f>
        <v>0</v>
      </c>
      <c r="K34" s="208">
        <f>+H34-J34</f>
        <v>0</v>
      </c>
      <c r="L34" s="164"/>
      <c r="M34" s="200">
        <f>SUMIF(Workings!O:O,A34,Workings!C:C)-SUMIF(Workings!O:O,A34,Workings!J:J)+SUMIF(Workings!O:O,A34,Workings!K:K)</f>
        <v>0</v>
      </c>
      <c r="N34" s="166">
        <f>-K34+O34</f>
        <v>0</v>
      </c>
      <c r="O34" s="208">
        <f>+H34-M34</f>
        <v>0</v>
      </c>
      <c r="P34" s="218"/>
      <c r="Q34" s="105"/>
      <c r="R34" s="108"/>
      <c r="S34" s="109"/>
      <c r="T34" s="110"/>
      <c r="V34" s="122"/>
      <c r="W34" s="114"/>
      <c r="X34" s="113"/>
      <c r="Y34" s="114"/>
      <c r="Z34" s="107">
        <v>1400</v>
      </c>
      <c r="AA34" s="107" t="s">
        <v>453</v>
      </c>
      <c r="AB34" s="107">
        <v>0</v>
      </c>
      <c r="AC34" s="321">
        <f t="shared" si="0"/>
        <v>0</v>
      </c>
      <c r="AD34" s="321"/>
      <c r="AE34" s="321">
        <f t="shared" si="1"/>
        <v>0</v>
      </c>
    </row>
    <row r="35" spans="1:31" s="107" customFormat="1" ht="12.75">
      <c r="A35" s="114">
        <v>1410</v>
      </c>
      <c r="B35" s="105" t="s">
        <v>454</v>
      </c>
      <c r="C35" s="105"/>
      <c r="D35" s="200">
        <f>SUMIF('Budget14-15'!M:M,A35,'Budget14-15'!S:S)</f>
        <v>65000</v>
      </c>
      <c r="E35" s="165">
        <f>SUMIF('Workings Prior Month'!O:O,A35,'Workings Prior Month'!C:C)</f>
        <v>65000</v>
      </c>
      <c r="F35" s="165">
        <f>+E35-D35</f>
        <v>0</v>
      </c>
      <c r="G35" s="165">
        <f>+H35-E35</f>
        <v>0</v>
      </c>
      <c r="H35" s="208">
        <f>SUMIF(Workings!O:O,A35,Workings!C:C)</f>
        <v>65000</v>
      </c>
      <c r="I35" s="164"/>
      <c r="J35" s="200">
        <f>SUMIF('Workings Prior Month'!O:O,A35,'Workings Prior Month'!C:C)-SUMIF('Workings Prior Month'!O:O,A35,'Workings Prior Month'!J:J)+SUMIF('Workings Prior Month'!O:O,A35,'Workings Prior Month'!K:K)</f>
        <v>65000</v>
      </c>
      <c r="K35" s="208">
        <f>+H35-J35</f>
        <v>0</v>
      </c>
      <c r="L35" s="164"/>
      <c r="M35" s="200">
        <f>SUMIF(Workings!O:O,A35,Workings!C:C)-SUMIF(Workings!O:O,A35,Workings!J:J)+SUMIF(Workings!O:O,A35,Workings!K:K)</f>
        <v>65000</v>
      </c>
      <c r="N35" s="166">
        <f>-K35+O35</f>
        <v>0</v>
      </c>
      <c r="O35" s="208">
        <f>+H35-M35</f>
        <v>0</v>
      </c>
      <c r="P35" s="218"/>
      <c r="Q35" s="105"/>
      <c r="R35" s="108">
        <v>64616</v>
      </c>
      <c r="S35" s="109">
        <v>87233</v>
      </c>
      <c r="T35" s="110">
        <f>R35-S35</f>
        <v>-22617</v>
      </c>
      <c r="V35" s="113"/>
      <c r="W35" s="123"/>
      <c r="X35" s="113"/>
      <c r="Y35" s="114"/>
      <c r="Z35" s="107">
        <v>1410</v>
      </c>
      <c r="AA35" s="107" t="s">
        <v>454</v>
      </c>
      <c r="AB35" s="107">
        <v>80000</v>
      </c>
      <c r="AC35" s="321">
        <f t="shared" si="0"/>
        <v>65000</v>
      </c>
      <c r="AD35" s="321"/>
      <c r="AE35" s="321">
        <f t="shared" si="1"/>
        <v>15000</v>
      </c>
    </row>
    <row r="36" spans="1:31" s="107" customFormat="1" ht="12.75">
      <c r="A36" s="114">
        <v>1420</v>
      </c>
      <c r="B36" s="105" t="s">
        <v>455</v>
      </c>
      <c r="C36" s="105"/>
      <c r="D36" s="200">
        <f>SUMIF('Budget14-15'!M:M,A36,'Budget14-15'!S:S)</f>
        <v>16000</v>
      </c>
      <c r="E36" s="165">
        <f>SUMIF('Workings Prior Month'!O:O,A36,'Workings Prior Month'!C:C)</f>
        <v>16000</v>
      </c>
      <c r="F36" s="165">
        <f>+E36-D36</f>
        <v>0</v>
      </c>
      <c r="G36" s="165">
        <f>+H36-E36</f>
        <v>0</v>
      </c>
      <c r="H36" s="208">
        <f>SUMIF(Workings!O:O,A36,Workings!C:C)</f>
        <v>16000</v>
      </c>
      <c r="I36" s="164"/>
      <c r="J36" s="200">
        <f>SUMIF('Workings Prior Month'!O:O,A36,'Workings Prior Month'!C:C)-SUMIF('Workings Prior Month'!O:O,A36,'Workings Prior Month'!J:J)+SUMIF('Workings Prior Month'!O:O,A36,'Workings Prior Month'!K:K)</f>
        <v>16000</v>
      </c>
      <c r="K36" s="208">
        <f>+H36-J36</f>
        <v>0</v>
      </c>
      <c r="L36" s="164"/>
      <c r="M36" s="200">
        <f>SUMIF(Workings!O:O,A36,Workings!C:C)-SUMIF(Workings!O:O,A36,Workings!J:J)+SUMIF(Workings!O:O,A36,Workings!K:K)</f>
        <v>16000</v>
      </c>
      <c r="N36" s="166">
        <f>-K36+O36</f>
        <v>0</v>
      </c>
      <c r="O36" s="208">
        <f>+H36-M36</f>
        <v>0</v>
      </c>
      <c r="P36" s="218"/>
      <c r="Q36" s="105"/>
      <c r="R36" s="108">
        <v>21000</v>
      </c>
      <c r="S36" s="109">
        <v>29250</v>
      </c>
      <c r="T36" s="110">
        <f>R36-S36</f>
        <v>-8250</v>
      </c>
      <c r="U36" s="127"/>
      <c r="V36" s="128"/>
      <c r="W36" s="114"/>
      <c r="X36" s="122"/>
      <c r="Y36" s="123"/>
      <c r="Z36" s="107">
        <v>1420</v>
      </c>
      <c r="AA36" s="107" t="s">
        <v>455</v>
      </c>
      <c r="AB36" s="107">
        <v>20000</v>
      </c>
      <c r="AC36" s="321">
        <f t="shared" si="0"/>
        <v>16000</v>
      </c>
      <c r="AD36" s="321"/>
      <c r="AE36" s="321">
        <f t="shared" si="1"/>
        <v>4000</v>
      </c>
    </row>
    <row r="37" spans="1:31" s="107" customFormat="1" ht="12.75">
      <c r="A37" s="123">
        <v>1430</v>
      </c>
      <c r="B37" s="105" t="s">
        <v>456</v>
      </c>
      <c r="C37" s="105"/>
      <c r="D37" s="200">
        <f>SUMIF('Budget14-15'!M:M,A37,'Budget14-15'!S:S)</f>
        <v>8500</v>
      </c>
      <c r="E37" s="165">
        <f>SUMIF('Workings Prior Month'!O:O,A37,'Workings Prior Month'!C:C)</f>
        <v>8500</v>
      </c>
      <c r="F37" s="165">
        <f>+E37-D37</f>
        <v>0</v>
      </c>
      <c r="G37" s="165">
        <f>+H37-E37</f>
        <v>0</v>
      </c>
      <c r="H37" s="208">
        <f>SUMIF(Workings!O:O,A37,Workings!C:C)</f>
        <v>8500</v>
      </c>
      <c r="I37" s="164"/>
      <c r="J37" s="200">
        <f>SUMIF('Workings Prior Month'!O:O,A37,'Workings Prior Month'!C:C)-SUMIF('Workings Prior Month'!O:O,A37,'Workings Prior Month'!J:J)+SUMIF('Workings Prior Month'!O:O,A37,'Workings Prior Month'!K:K)</f>
        <v>8500</v>
      </c>
      <c r="K37" s="208">
        <f>+H37-J37</f>
        <v>0</v>
      </c>
      <c r="L37" s="164"/>
      <c r="M37" s="200">
        <f>SUMIF(Workings!O:O,A37,Workings!C:C)-SUMIF(Workings!O:O,A37,Workings!J:J)+SUMIF(Workings!O:O,A37,Workings!K:K)</f>
        <v>8500</v>
      </c>
      <c r="N37" s="166">
        <f>-K37+O37</f>
        <v>0</v>
      </c>
      <c r="O37" s="208">
        <f>+H37-M37</f>
        <v>0</v>
      </c>
      <c r="P37" s="218"/>
      <c r="Q37" s="105"/>
      <c r="R37" s="108">
        <v>16000</v>
      </c>
      <c r="S37" s="109">
        <f>14074</f>
        <v>14074</v>
      </c>
      <c r="T37" s="110">
        <f>R37-S37</f>
        <v>1926</v>
      </c>
      <c r="V37" s="129"/>
      <c r="W37" s="123"/>
      <c r="X37" s="113"/>
      <c r="Y37" s="114"/>
      <c r="Z37" s="107">
        <v>1430</v>
      </c>
      <c r="AA37" s="107" t="s">
        <v>456</v>
      </c>
      <c r="AB37" s="107">
        <v>11000</v>
      </c>
      <c r="AC37" s="321">
        <f t="shared" si="0"/>
        <v>8500</v>
      </c>
      <c r="AD37" s="321"/>
      <c r="AE37" s="321">
        <f t="shared" si="1"/>
        <v>2500</v>
      </c>
    </row>
    <row r="38" spans="1:31" s="107" customFormat="1" ht="12.75">
      <c r="A38" s="123"/>
      <c r="B38" s="105"/>
      <c r="C38" s="105"/>
      <c r="D38" s="201">
        <f>SUM(D34:D37)</f>
        <v>89500</v>
      </c>
      <c r="E38" s="179">
        <f>SUM(E34:E37)</f>
        <v>89500</v>
      </c>
      <c r="F38" s="179">
        <f>SUM(F34:F37)</f>
        <v>0</v>
      </c>
      <c r="G38" s="179">
        <f>SUM(G34:G37)</f>
        <v>0</v>
      </c>
      <c r="H38" s="214">
        <f>SUM(H34:H37)</f>
        <v>89500</v>
      </c>
      <c r="I38" s="178"/>
      <c r="J38" s="201">
        <f>SUM(J34:J37)</f>
        <v>89500</v>
      </c>
      <c r="K38" s="214">
        <f>SUM(K34:K37)</f>
        <v>0</v>
      </c>
      <c r="L38" s="178"/>
      <c r="M38" s="201">
        <f>SUM(M34:M37)</f>
        <v>89500</v>
      </c>
      <c r="N38" s="179">
        <f>SUM(N34:N37)</f>
        <v>0</v>
      </c>
      <c r="O38" s="214">
        <f>SUM(O34:O37)</f>
        <v>0</v>
      </c>
      <c r="P38" s="218"/>
      <c r="Q38" s="105"/>
      <c r="R38" s="108"/>
      <c r="S38" s="109"/>
      <c r="T38" s="110"/>
      <c r="V38" s="129"/>
      <c r="W38" s="123"/>
      <c r="X38" s="113"/>
      <c r="Y38" s="114"/>
      <c r="AB38" s="107">
        <v>111000</v>
      </c>
      <c r="AC38" s="321">
        <f t="shared" si="0"/>
        <v>89500</v>
      </c>
      <c r="AD38" s="321"/>
      <c r="AE38" s="321">
        <f t="shared" si="1"/>
        <v>21500</v>
      </c>
    </row>
    <row r="39" spans="1:31" s="130" customFormat="1" ht="12.75">
      <c r="A39" s="123"/>
      <c r="B39" s="118" t="s">
        <v>457</v>
      </c>
      <c r="C39" s="118"/>
      <c r="D39" s="198"/>
      <c r="E39" s="166"/>
      <c r="F39" s="166"/>
      <c r="G39" s="166"/>
      <c r="H39" s="208"/>
      <c r="I39" s="164"/>
      <c r="J39" s="203"/>
      <c r="K39" s="210"/>
      <c r="L39" s="167"/>
      <c r="M39" s="203"/>
      <c r="N39" s="171"/>
      <c r="O39" s="210"/>
      <c r="P39" s="237"/>
      <c r="Q39" s="118"/>
      <c r="R39" s="131"/>
      <c r="S39" s="109"/>
      <c r="T39" s="110"/>
      <c r="U39" s="107"/>
      <c r="V39" s="129"/>
      <c r="W39" s="129"/>
      <c r="X39" s="129"/>
      <c r="Y39" s="129"/>
      <c r="AA39" s="130" t="s">
        <v>457</v>
      </c>
      <c r="AC39" s="321">
        <f t="shared" si="0"/>
        <v>0</v>
      </c>
      <c r="AD39" s="321"/>
      <c r="AE39" s="321">
        <f t="shared" si="1"/>
        <v>0</v>
      </c>
    </row>
    <row r="40" spans="1:31" s="130" customFormat="1" ht="12.75">
      <c r="A40" s="114">
        <v>1500</v>
      </c>
      <c r="B40" s="105" t="s">
        <v>215</v>
      </c>
      <c r="C40" s="105"/>
      <c r="D40" s="200">
        <f>SUMIF('Budget14-15'!M:M,A40,'Budget14-15'!S:S)</f>
        <v>125000</v>
      </c>
      <c r="E40" s="165">
        <f>SUMIF('Workings Prior Month'!O:O,A40,'Workings Prior Month'!C:C)</f>
        <v>125000</v>
      </c>
      <c r="F40" s="165">
        <f>+E40-D40</f>
        <v>0</v>
      </c>
      <c r="G40" s="165">
        <f>+H40-E40</f>
        <v>0</v>
      </c>
      <c r="H40" s="208">
        <f>SUMIF(Workings!O:O,A40,Workings!C:C)</f>
        <v>125000</v>
      </c>
      <c r="I40" s="164"/>
      <c r="J40" s="200">
        <f>SUMIF('Workings Prior Month'!O:O,A40,'Workings Prior Month'!C:C)-SUMIF('Workings Prior Month'!O:O,A40,'Workings Prior Month'!J:J)+SUMIF('Workings Prior Month'!O:O,A40,'Workings Prior Month'!K:K)</f>
        <v>125000</v>
      </c>
      <c r="K40" s="208">
        <f>+H40-J40</f>
        <v>0</v>
      </c>
      <c r="L40" s="164"/>
      <c r="M40" s="200">
        <f>SUMIF(Workings!O:O,A40,Workings!C:C)-SUMIF(Workings!O:O,A40,Workings!J:J)+SUMIF(Workings!O:O,A40,Workings!K:K)</f>
        <v>125000</v>
      </c>
      <c r="N40" s="166">
        <f>-K40+O40</f>
        <v>0</v>
      </c>
      <c r="O40" s="208">
        <f>+H40-M40</f>
        <v>0</v>
      </c>
      <c r="P40" s="218"/>
      <c r="Q40" s="105"/>
      <c r="R40" s="108">
        <v>125350</v>
      </c>
      <c r="S40" s="109">
        <f>130359</f>
        <v>130359</v>
      </c>
      <c r="T40" s="110">
        <f aca="true" t="shared" si="3" ref="T40:T45">R40-S40</f>
        <v>-5009</v>
      </c>
      <c r="U40" s="107"/>
      <c r="V40" s="129"/>
      <c r="W40" s="129"/>
      <c r="X40" s="129"/>
      <c r="Y40" s="129"/>
      <c r="Z40" s="130">
        <v>1500</v>
      </c>
      <c r="AA40" s="130" t="s">
        <v>215</v>
      </c>
      <c r="AB40" s="130">
        <v>125000</v>
      </c>
      <c r="AC40" s="321">
        <f t="shared" si="0"/>
        <v>125000</v>
      </c>
      <c r="AD40" s="321"/>
      <c r="AE40" s="321">
        <f t="shared" si="1"/>
        <v>0</v>
      </c>
    </row>
    <row r="41" spans="1:31" s="130" customFormat="1" ht="12.75">
      <c r="A41" s="123">
        <v>1510</v>
      </c>
      <c r="B41" s="105" t="s">
        <v>458</v>
      </c>
      <c r="C41" s="105"/>
      <c r="D41" s="200">
        <f>SUMIF('Budget14-15'!M:M,A41,'Budget14-15'!S:S)</f>
        <v>135000</v>
      </c>
      <c r="E41" s="165">
        <f>SUMIF('Workings Prior Month'!O:O,A41,'Workings Prior Month'!C:C)</f>
        <v>135000</v>
      </c>
      <c r="F41" s="165">
        <f>+E41-D41</f>
        <v>0</v>
      </c>
      <c r="G41" s="165">
        <f>+H41-E41</f>
        <v>0</v>
      </c>
      <c r="H41" s="208">
        <f>SUMIF(Workings!O:O,A41,Workings!C:C)</f>
        <v>135000</v>
      </c>
      <c r="I41" s="164"/>
      <c r="J41" s="200">
        <f>SUMIF('Workings Prior Month'!O:O,A41,'Workings Prior Month'!C:C)-SUMIF('Workings Prior Month'!O:O,A41,'Workings Prior Month'!J:J)+SUMIF('Workings Prior Month'!O:O,A41,'Workings Prior Month'!K:K)</f>
        <v>136784.13</v>
      </c>
      <c r="K41" s="208">
        <f>+H41-J41</f>
        <v>-1784.1300000000047</v>
      </c>
      <c r="L41" s="164"/>
      <c r="M41" s="200">
        <f>SUMIF(Workings!O:O,A41,Workings!C:C)-SUMIF(Workings!O:O,A41,Workings!J:J)+SUMIF(Workings!O:O,A41,Workings!K:K)</f>
        <v>138647.55</v>
      </c>
      <c r="N41" s="166">
        <f>-K41+O41</f>
        <v>-1863.4199999999837</v>
      </c>
      <c r="O41" s="208">
        <f>+H41-M41</f>
        <v>-3647.5499999999884</v>
      </c>
      <c r="P41" s="218" t="s">
        <v>782</v>
      </c>
      <c r="Q41" s="105"/>
      <c r="R41" s="108">
        <v>143225</v>
      </c>
      <c r="S41" s="109">
        <v>147464</v>
      </c>
      <c r="T41" s="110">
        <f t="shared" si="3"/>
        <v>-4239</v>
      </c>
      <c r="U41" s="107"/>
      <c r="V41" s="129"/>
      <c r="W41" s="129"/>
      <c r="X41" s="129"/>
      <c r="Y41" s="129"/>
      <c r="Z41" s="130">
        <v>1510</v>
      </c>
      <c r="AA41" s="130" t="s">
        <v>458</v>
      </c>
      <c r="AB41" s="130">
        <v>137000</v>
      </c>
      <c r="AC41" s="321">
        <f t="shared" si="0"/>
        <v>135000</v>
      </c>
      <c r="AD41" s="321"/>
      <c r="AE41" s="321">
        <f t="shared" si="1"/>
        <v>2000</v>
      </c>
    </row>
    <row r="42" spans="1:31" s="130" customFormat="1" ht="12.75">
      <c r="A42" s="123">
        <v>1520</v>
      </c>
      <c r="B42" s="105" t="s">
        <v>223</v>
      </c>
      <c r="C42" s="105"/>
      <c r="D42" s="200">
        <f>SUMIF('Budget14-15'!M:M,A42,'Budget14-15'!S:S)</f>
        <v>24000</v>
      </c>
      <c r="E42" s="165">
        <f>SUMIF('Workings Prior Month'!O:O,A42,'Workings Prior Month'!C:C)</f>
        <v>24000</v>
      </c>
      <c r="F42" s="165">
        <f>+E42-D42</f>
        <v>0</v>
      </c>
      <c r="G42" s="165">
        <f>+H42-E42</f>
        <v>0</v>
      </c>
      <c r="H42" s="208">
        <f>SUMIF(Workings!O:O,A42,Workings!C:C)</f>
        <v>24000</v>
      </c>
      <c r="I42" s="164"/>
      <c r="J42" s="200">
        <f>SUMIF('Workings Prior Month'!O:O,A42,'Workings Prior Month'!C:C)-SUMIF('Workings Prior Month'!O:O,A42,'Workings Prior Month'!J:J)+SUMIF('Workings Prior Month'!O:O,A42,'Workings Prior Month'!K:K)</f>
        <v>24000</v>
      </c>
      <c r="K42" s="208">
        <f>+H42-J42</f>
        <v>0</v>
      </c>
      <c r="L42" s="164"/>
      <c r="M42" s="200">
        <f>SUMIF(Workings!O:O,A42,Workings!C:C)-SUMIF(Workings!O:O,A42,Workings!J:J)+SUMIF(Workings!O:O,A42,Workings!K:K)</f>
        <v>24092.33</v>
      </c>
      <c r="N42" s="166">
        <f>-K42+O42</f>
        <v>-92.33000000000175</v>
      </c>
      <c r="O42" s="208">
        <f>+H42-M42</f>
        <v>-92.33000000000175</v>
      </c>
      <c r="P42" s="218"/>
      <c r="Q42" s="105"/>
      <c r="R42" s="108">
        <v>24000</v>
      </c>
      <c r="S42" s="109">
        <v>14150</v>
      </c>
      <c r="T42" s="110">
        <f t="shared" si="3"/>
        <v>9850</v>
      </c>
      <c r="U42" s="107"/>
      <c r="V42" s="129"/>
      <c r="W42" s="129"/>
      <c r="X42" s="129"/>
      <c r="Y42" s="129"/>
      <c r="Z42" s="130">
        <v>1520</v>
      </c>
      <c r="AA42" s="130" t="s">
        <v>223</v>
      </c>
      <c r="AB42" s="130">
        <v>23000</v>
      </c>
      <c r="AC42" s="321">
        <f t="shared" si="0"/>
        <v>24000</v>
      </c>
      <c r="AD42" s="321"/>
      <c r="AE42" s="321">
        <f t="shared" si="1"/>
        <v>-1000</v>
      </c>
    </row>
    <row r="43" spans="1:31" s="130" customFormat="1" ht="12.75">
      <c r="A43" s="148">
        <v>1530</v>
      </c>
      <c r="B43" s="105" t="s">
        <v>459</v>
      </c>
      <c r="C43" s="105"/>
      <c r="D43" s="200">
        <f>SUMIF('Budget14-15'!M:M,A43,'Budget14-15'!S:S)</f>
        <v>34500</v>
      </c>
      <c r="E43" s="165">
        <f>SUMIF('Workings Prior Month'!O:O,A43,'Workings Prior Month'!C:C)</f>
        <v>34500</v>
      </c>
      <c r="F43" s="165">
        <f>+E43-D43</f>
        <v>0</v>
      </c>
      <c r="G43" s="165">
        <f>+H43-E43</f>
        <v>0</v>
      </c>
      <c r="H43" s="208">
        <f>SUMIF(Workings!O:O,A43,Workings!C:C)</f>
        <v>34500</v>
      </c>
      <c r="I43" s="164"/>
      <c r="J43" s="200">
        <f>SUMIF('Workings Prior Month'!O:O,A43,'Workings Prior Month'!C:C)-SUMIF('Workings Prior Month'!O:O,A43,'Workings Prior Month'!J:J)+SUMIF('Workings Prior Month'!O:O,A43,'Workings Prior Month'!K:K)</f>
        <v>34500</v>
      </c>
      <c r="K43" s="208">
        <f>+H43-J43</f>
        <v>0</v>
      </c>
      <c r="L43" s="164"/>
      <c r="M43" s="200">
        <f>SUMIF(Workings!O:O,A43,Workings!C:C)-SUMIF(Workings!O:O,A43,Workings!J:J)+SUMIF(Workings!O:O,A43,Workings!K:K)</f>
        <v>34500</v>
      </c>
      <c r="N43" s="166">
        <f>-K43+O43</f>
        <v>0</v>
      </c>
      <c r="O43" s="208">
        <f>+H43-M43</f>
        <v>0</v>
      </c>
      <c r="P43" s="218"/>
      <c r="Q43" s="105"/>
      <c r="R43" s="108">
        <v>31393</v>
      </c>
      <c r="S43" s="109">
        <v>31393</v>
      </c>
      <c r="T43" s="110">
        <f t="shared" si="3"/>
        <v>0</v>
      </c>
      <c r="U43" s="107"/>
      <c r="V43" s="129"/>
      <c r="W43" s="129"/>
      <c r="X43" s="129"/>
      <c r="Y43" s="129"/>
      <c r="Z43" s="130">
        <v>1530</v>
      </c>
      <c r="AA43" s="130" t="s">
        <v>459</v>
      </c>
      <c r="AB43" s="130">
        <v>34500</v>
      </c>
      <c r="AC43" s="321">
        <f t="shared" si="0"/>
        <v>34500</v>
      </c>
      <c r="AD43" s="321"/>
      <c r="AE43" s="321">
        <f t="shared" si="1"/>
        <v>0</v>
      </c>
    </row>
    <row r="44" spans="1:31" s="130" customFormat="1" ht="12.75">
      <c r="A44" s="148">
        <v>1540</v>
      </c>
      <c r="B44" s="105" t="s">
        <v>460</v>
      </c>
      <c r="C44" s="105"/>
      <c r="D44" s="200">
        <f>SUMIF('Budget14-15'!M:M,A44,'Budget14-15'!S:S)</f>
        <v>52000</v>
      </c>
      <c r="E44" s="165">
        <f>SUMIF('Workings Prior Month'!O:O,A44,'Workings Prior Month'!C:C)</f>
        <v>52000</v>
      </c>
      <c r="F44" s="165">
        <f>+E44-D44</f>
        <v>0</v>
      </c>
      <c r="G44" s="165">
        <f>+H44-E44</f>
        <v>0</v>
      </c>
      <c r="H44" s="208">
        <f>SUMIF(Workings!O:O,A44,Workings!C:C)</f>
        <v>52000</v>
      </c>
      <c r="I44" s="164"/>
      <c r="J44" s="200">
        <f>SUMIF('Workings Prior Month'!O:O,A44,'Workings Prior Month'!C:C)-SUMIF('Workings Prior Month'!O:O,A44,'Workings Prior Month'!J:J)+SUMIF('Workings Prior Month'!O:O,A44,'Workings Prior Month'!K:K)</f>
        <v>52000</v>
      </c>
      <c r="K44" s="208">
        <f>+H44-J44</f>
        <v>0</v>
      </c>
      <c r="L44" s="164"/>
      <c r="M44" s="200">
        <f>SUMIF(Workings!O:O,A44,Workings!C:C)-SUMIF(Workings!O:O,A44,Workings!J:J)+SUMIF(Workings!O:O,A44,Workings!K:K)</f>
        <v>44789.5</v>
      </c>
      <c r="N44" s="166">
        <f>-K44+O44</f>
        <v>7210.5</v>
      </c>
      <c r="O44" s="208">
        <f>+H44-M44</f>
        <v>7210.5</v>
      </c>
      <c r="P44" s="218" t="s">
        <v>781</v>
      </c>
      <c r="Q44" s="105"/>
      <c r="R44" s="108">
        <v>1358</v>
      </c>
      <c r="S44" s="109">
        <v>41011</v>
      </c>
      <c r="T44" s="110">
        <f t="shared" si="3"/>
        <v>-39653</v>
      </c>
      <c r="U44" s="107"/>
      <c r="V44" s="129"/>
      <c r="W44" s="129"/>
      <c r="X44" s="129"/>
      <c r="Y44" s="129"/>
      <c r="Z44" s="130">
        <v>1540</v>
      </c>
      <c r="AA44" s="130" t="s">
        <v>460</v>
      </c>
      <c r="AB44" s="130">
        <v>28000</v>
      </c>
      <c r="AC44" s="321">
        <f t="shared" si="0"/>
        <v>52000</v>
      </c>
      <c r="AD44" s="321"/>
      <c r="AE44" s="321">
        <f t="shared" si="1"/>
        <v>-24000</v>
      </c>
    </row>
    <row r="45" spans="1:31" s="130" customFormat="1" ht="13.5" thickBot="1">
      <c r="A45" s="148"/>
      <c r="B45" s="105"/>
      <c r="C45" s="105"/>
      <c r="D45" s="197">
        <f>SUM(D40:D44)</f>
        <v>370500</v>
      </c>
      <c r="E45" s="169">
        <f>SUM(E40:E44)</f>
        <v>370500</v>
      </c>
      <c r="F45" s="169">
        <f>SUM(F40:F44)</f>
        <v>0</v>
      </c>
      <c r="G45" s="169">
        <f>SUM(G40:G44)</f>
        <v>0</v>
      </c>
      <c r="H45" s="209">
        <f>SUM(H40:H44)</f>
        <v>370500</v>
      </c>
      <c r="I45" s="164"/>
      <c r="J45" s="197">
        <f>SUM(J40:J44)</f>
        <v>372284.13</v>
      </c>
      <c r="K45" s="209">
        <f>SUM(K40:K44)</f>
        <v>-1784.1300000000047</v>
      </c>
      <c r="L45" s="164"/>
      <c r="M45" s="197">
        <f>SUM(M40:M44)</f>
        <v>367029.38</v>
      </c>
      <c r="N45" s="169">
        <f>SUM(N40:N44)</f>
        <v>5254.750000000015</v>
      </c>
      <c r="O45" s="209">
        <f>SUM(O40:O44)</f>
        <v>3470.62000000001</v>
      </c>
      <c r="P45" s="218"/>
      <c r="Q45" s="105"/>
      <c r="R45" s="132">
        <v>325326</v>
      </c>
      <c r="S45" s="116">
        <f>SUM(S40:S44)</f>
        <v>364377</v>
      </c>
      <c r="T45" s="117">
        <f t="shared" si="3"/>
        <v>-39051</v>
      </c>
      <c r="U45" s="107"/>
      <c r="V45" s="129"/>
      <c r="W45" s="129"/>
      <c r="X45" s="129"/>
      <c r="Y45" s="129"/>
      <c r="AB45" s="130">
        <v>347500</v>
      </c>
      <c r="AC45" s="321">
        <f t="shared" si="0"/>
        <v>370500</v>
      </c>
      <c r="AD45" s="321"/>
      <c r="AE45" s="321">
        <f t="shared" si="1"/>
        <v>-23000</v>
      </c>
    </row>
    <row r="46" spans="1:31" s="130" customFormat="1" ht="12.75">
      <c r="A46" s="148"/>
      <c r="B46" s="118" t="s">
        <v>461</v>
      </c>
      <c r="C46" s="118"/>
      <c r="D46" s="198"/>
      <c r="E46" s="166"/>
      <c r="F46" s="166"/>
      <c r="G46" s="166"/>
      <c r="H46" s="208"/>
      <c r="I46" s="164"/>
      <c r="J46" s="203"/>
      <c r="K46" s="210"/>
      <c r="L46" s="167"/>
      <c r="M46" s="203"/>
      <c r="N46" s="171"/>
      <c r="O46" s="210"/>
      <c r="P46" s="237"/>
      <c r="Q46" s="118"/>
      <c r="R46" s="131"/>
      <c r="S46" s="109"/>
      <c r="T46" s="110"/>
      <c r="U46" s="107"/>
      <c r="V46" s="129"/>
      <c r="W46" s="129"/>
      <c r="X46" s="129"/>
      <c r="Y46" s="129"/>
      <c r="AA46" s="130" t="s">
        <v>461</v>
      </c>
      <c r="AC46" s="321">
        <f t="shared" si="0"/>
        <v>0</v>
      </c>
      <c r="AD46" s="321"/>
      <c r="AE46" s="321">
        <f t="shared" si="1"/>
        <v>0</v>
      </c>
    </row>
    <row r="47" spans="1:31" s="130" customFormat="1" ht="12.75">
      <c r="A47" s="148">
        <v>1600</v>
      </c>
      <c r="B47" s="105" t="s">
        <v>462</v>
      </c>
      <c r="C47" s="105"/>
      <c r="D47" s="200">
        <f>SUMIF('Budget14-15'!M:M,A47,'Budget14-15'!S:S)</f>
        <v>86746</v>
      </c>
      <c r="E47" s="165">
        <f>SUMIF('Workings Prior Month'!O:O,A47,'Workings Prior Month'!C:C)</f>
        <v>89746</v>
      </c>
      <c r="F47" s="165">
        <f aca="true" t="shared" si="4" ref="F47:F57">+E47-D47</f>
        <v>3000</v>
      </c>
      <c r="G47" s="165">
        <f aca="true" t="shared" si="5" ref="G47:G57">+H47-E47</f>
        <v>0</v>
      </c>
      <c r="H47" s="208">
        <f>SUMIF(Workings!O:O,A47,Workings!C:C)</f>
        <v>89746</v>
      </c>
      <c r="I47" s="164"/>
      <c r="J47" s="200">
        <f>SUMIF('Workings Prior Month'!O:O,A47,'Workings Prior Month'!C:C)-SUMIF('Workings Prior Month'!O:O,A47,'Workings Prior Month'!J:J)+SUMIF('Workings Prior Month'!O:O,A47,'Workings Prior Month'!K:K)</f>
        <v>89695.2</v>
      </c>
      <c r="K47" s="208">
        <f aca="true" t="shared" si="6" ref="K47:K57">+H47-J47</f>
        <v>50.80000000000291</v>
      </c>
      <c r="L47" s="164"/>
      <c r="M47" s="200">
        <f>SUMIF(Workings!O:O,A47,Workings!C:C)-SUMIF(Workings!O:O,A47,Workings!J:J)+SUMIF(Workings!O:O,A47,Workings!K:K)</f>
        <v>89751.02</v>
      </c>
      <c r="N47" s="166">
        <f aca="true" t="shared" si="7" ref="N47:N57">-K47+O47</f>
        <v>-55.820000000006985</v>
      </c>
      <c r="O47" s="208">
        <f aca="true" t="shared" si="8" ref="O47:O57">+H47-M47</f>
        <v>-5.0200000000040745</v>
      </c>
      <c r="P47" s="218"/>
      <c r="Q47" s="105"/>
      <c r="R47" s="108">
        <v>89063</v>
      </c>
      <c r="S47" s="109">
        <f>800+111600</f>
        <v>112400</v>
      </c>
      <c r="T47" s="110">
        <f>R47-S47</f>
        <v>-23337</v>
      </c>
      <c r="U47" s="107"/>
      <c r="V47" s="129"/>
      <c r="W47" s="129"/>
      <c r="X47" s="129"/>
      <c r="Y47" s="129"/>
      <c r="Z47" s="130">
        <v>1600</v>
      </c>
      <c r="AA47" s="130" t="s">
        <v>462</v>
      </c>
      <c r="AB47" s="130">
        <v>95697</v>
      </c>
      <c r="AC47" s="321">
        <f t="shared" si="0"/>
        <v>86746</v>
      </c>
      <c r="AD47" s="321"/>
      <c r="AE47" s="321">
        <f t="shared" si="1"/>
        <v>8951</v>
      </c>
    </row>
    <row r="48" spans="1:31" s="130" customFormat="1" ht="12.75">
      <c r="A48" s="148">
        <v>1610</v>
      </c>
      <c r="B48" s="105" t="s">
        <v>463</v>
      </c>
      <c r="C48" s="105"/>
      <c r="D48" s="200">
        <f>SUMIF('Budget14-15'!M:M,A48,'Budget14-15'!S:S)</f>
        <v>140000</v>
      </c>
      <c r="E48" s="165">
        <f>SUMIF('Workings Prior Month'!O:O,A48,'Workings Prior Month'!C:C)</f>
        <v>140000</v>
      </c>
      <c r="F48" s="165">
        <f t="shared" si="4"/>
        <v>0</v>
      </c>
      <c r="G48" s="165">
        <f t="shared" si="5"/>
        <v>0</v>
      </c>
      <c r="H48" s="208">
        <f>SUMIF(Workings!O:O,A48,Workings!C:C)</f>
        <v>140000</v>
      </c>
      <c r="I48" s="164"/>
      <c r="J48" s="200">
        <f>SUMIF('Workings Prior Month'!O:O,A48,'Workings Prior Month'!C:C)-SUMIF('Workings Prior Month'!O:O,A48,'Workings Prior Month'!J:J)+SUMIF('Workings Prior Month'!O:O,A48,'Workings Prior Month'!K:K)</f>
        <v>140000</v>
      </c>
      <c r="K48" s="208">
        <f t="shared" si="6"/>
        <v>0</v>
      </c>
      <c r="L48" s="164"/>
      <c r="M48" s="200">
        <f>SUMIF(Workings!O:O,A48,Workings!C:C)-SUMIF(Workings!O:O,A48,Workings!J:J)+SUMIF(Workings!O:O,A48,Workings!K:K)</f>
        <v>140000</v>
      </c>
      <c r="N48" s="166">
        <f t="shared" si="7"/>
        <v>0</v>
      </c>
      <c r="O48" s="208">
        <f t="shared" si="8"/>
        <v>0</v>
      </c>
      <c r="P48" s="218"/>
      <c r="Q48" s="105"/>
      <c r="R48" s="133">
        <v>162000</v>
      </c>
      <c r="S48" s="109">
        <v>162000</v>
      </c>
      <c r="T48" s="110">
        <f>R48-S48</f>
        <v>0</v>
      </c>
      <c r="U48" s="107"/>
      <c r="V48" s="129"/>
      <c r="W48" s="129"/>
      <c r="X48" s="129"/>
      <c r="Y48" s="129"/>
      <c r="Z48" s="130">
        <v>1610</v>
      </c>
      <c r="AA48" s="130" t="s">
        <v>463</v>
      </c>
      <c r="AB48" s="130">
        <v>145000</v>
      </c>
      <c r="AC48" s="321">
        <f t="shared" si="0"/>
        <v>140000</v>
      </c>
      <c r="AD48" s="321"/>
      <c r="AE48" s="321">
        <f t="shared" si="1"/>
        <v>5000</v>
      </c>
    </row>
    <row r="49" spans="1:31" s="130" customFormat="1" ht="12.75">
      <c r="A49" s="148">
        <v>1620</v>
      </c>
      <c r="B49" s="105" t="s">
        <v>464</v>
      </c>
      <c r="C49" s="105"/>
      <c r="D49" s="200">
        <f>SUMIF('Budget14-15'!M:M,A49,'Budget14-15'!S:S)</f>
        <v>43809</v>
      </c>
      <c r="E49" s="165">
        <f>SUMIF('Workings Prior Month'!O:O,A49,'Workings Prior Month'!C:C)</f>
        <v>43809</v>
      </c>
      <c r="F49" s="165">
        <f t="shared" si="4"/>
        <v>0</v>
      </c>
      <c r="G49" s="165">
        <f t="shared" si="5"/>
        <v>0</v>
      </c>
      <c r="H49" s="208">
        <f>SUMIF(Workings!O:O,A49,Workings!C:C)</f>
        <v>43809</v>
      </c>
      <c r="I49" s="164"/>
      <c r="J49" s="200">
        <f>SUMIF('Workings Prior Month'!O:O,A49,'Workings Prior Month'!C:C)-SUMIF('Workings Prior Month'!O:O,A49,'Workings Prior Month'!J:J)+SUMIF('Workings Prior Month'!O:O,A49,'Workings Prior Month'!K:K)</f>
        <v>43809</v>
      </c>
      <c r="K49" s="208">
        <f t="shared" si="6"/>
        <v>0</v>
      </c>
      <c r="L49" s="164"/>
      <c r="M49" s="200">
        <f>SUMIF(Workings!O:O,A49,Workings!C:C)-SUMIF(Workings!O:O,A49,Workings!J:J)+SUMIF(Workings!O:O,A49,Workings!K:K)</f>
        <v>43809</v>
      </c>
      <c r="N49" s="166">
        <f t="shared" si="7"/>
        <v>0</v>
      </c>
      <c r="O49" s="208">
        <f t="shared" si="8"/>
        <v>0</v>
      </c>
      <c r="P49" s="236"/>
      <c r="Q49" s="105"/>
      <c r="R49" s="134">
        <v>50000</v>
      </c>
      <c r="S49" s="109">
        <f>1600+7450+34500</f>
        <v>43550</v>
      </c>
      <c r="T49" s="110">
        <f>R49-S49</f>
        <v>6450</v>
      </c>
      <c r="U49" s="107"/>
      <c r="V49" s="129"/>
      <c r="W49" s="129"/>
      <c r="X49" s="129"/>
      <c r="Y49" s="129"/>
      <c r="Z49" s="130">
        <v>1620</v>
      </c>
      <c r="AA49" s="130" t="s">
        <v>464</v>
      </c>
      <c r="AB49" s="130">
        <v>102186</v>
      </c>
      <c r="AC49" s="321">
        <f t="shared" si="0"/>
        <v>43809</v>
      </c>
      <c r="AD49" s="321"/>
      <c r="AE49" s="321">
        <f t="shared" si="1"/>
        <v>58377</v>
      </c>
    </row>
    <row r="50" spans="1:31" s="130" customFormat="1" ht="12.75">
      <c r="A50" s="148">
        <v>1630</v>
      </c>
      <c r="B50" s="105" t="s">
        <v>465</v>
      </c>
      <c r="C50" s="105"/>
      <c r="D50" s="200">
        <f>SUMIF('Budget14-15'!M:M,A50,'Budget14-15'!S:S)</f>
        <v>9563</v>
      </c>
      <c r="E50" s="165">
        <f>SUMIF('Workings Prior Month'!O:O,A50,'Workings Prior Month'!C:C)</f>
        <v>10163</v>
      </c>
      <c r="F50" s="165">
        <f t="shared" si="4"/>
        <v>600</v>
      </c>
      <c r="G50" s="165">
        <f t="shared" si="5"/>
        <v>0</v>
      </c>
      <c r="H50" s="208">
        <f>SUMIF(Workings!O:O,A50,Workings!C:C)</f>
        <v>10163</v>
      </c>
      <c r="I50" s="164"/>
      <c r="J50" s="200">
        <f>SUMIF('Workings Prior Month'!O:O,A50,'Workings Prior Month'!C:C)-SUMIF('Workings Prior Month'!O:O,A50,'Workings Prior Month'!J:J)+SUMIF('Workings Prior Month'!O:O,A50,'Workings Prior Month'!K:K)</f>
        <v>10163</v>
      </c>
      <c r="K50" s="208">
        <f t="shared" si="6"/>
        <v>0</v>
      </c>
      <c r="L50" s="164"/>
      <c r="M50" s="200">
        <f>SUMIF(Workings!O:O,A50,Workings!C:C)-SUMIF(Workings!O:O,A50,Workings!J:J)+SUMIF(Workings!O:O,A50,Workings!K:K)</f>
        <v>10163</v>
      </c>
      <c r="N50" s="166">
        <f t="shared" si="7"/>
        <v>0</v>
      </c>
      <c r="O50" s="208">
        <f t="shared" si="8"/>
        <v>0</v>
      </c>
      <c r="P50" s="218"/>
      <c r="Q50" s="105"/>
      <c r="R50" s="108">
        <v>13300</v>
      </c>
      <c r="S50" s="109">
        <f>14924</f>
        <v>14924</v>
      </c>
      <c r="T50" s="110">
        <f>R50-S50</f>
        <v>-1624</v>
      </c>
      <c r="U50" s="107"/>
      <c r="V50" s="129"/>
      <c r="W50" s="129"/>
      <c r="X50" s="129"/>
      <c r="Y50" s="129"/>
      <c r="Z50" s="130">
        <v>1630</v>
      </c>
      <c r="AA50" s="130" t="s">
        <v>465</v>
      </c>
      <c r="AB50" s="130">
        <v>9790</v>
      </c>
      <c r="AC50" s="321">
        <f t="shared" si="0"/>
        <v>9563</v>
      </c>
      <c r="AD50" s="321"/>
      <c r="AE50" s="321">
        <f t="shared" si="1"/>
        <v>227</v>
      </c>
    </row>
    <row r="51" spans="1:31" s="130" customFormat="1" ht="12.75">
      <c r="A51" s="148"/>
      <c r="B51" s="105"/>
      <c r="C51" s="105"/>
      <c r="D51" s="200"/>
      <c r="E51" s="165"/>
      <c r="F51" s="165"/>
      <c r="G51" s="165"/>
      <c r="H51" s="208"/>
      <c r="I51" s="164"/>
      <c r="J51" s="200"/>
      <c r="K51" s="208"/>
      <c r="L51" s="164"/>
      <c r="M51" s="200"/>
      <c r="N51" s="166"/>
      <c r="O51" s="208"/>
      <c r="P51" s="218"/>
      <c r="Q51" s="105"/>
      <c r="R51" s="108"/>
      <c r="S51" s="109"/>
      <c r="T51" s="110"/>
      <c r="U51" s="107"/>
      <c r="V51" s="129"/>
      <c r="W51" s="129"/>
      <c r="X51" s="129"/>
      <c r="Y51" s="129"/>
      <c r="AB51" s="130">
        <v>0</v>
      </c>
      <c r="AC51" s="321">
        <f t="shared" si="0"/>
        <v>0</v>
      </c>
      <c r="AD51" s="321"/>
      <c r="AE51" s="321">
        <f t="shared" si="1"/>
        <v>0</v>
      </c>
    </row>
    <row r="52" spans="1:31" s="130" customFormat="1" ht="12.75">
      <c r="A52" s="148">
        <v>1640</v>
      </c>
      <c r="B52" s="105" t="s">
        <v>466</v>
      </c>
      <c r="C52" s="105"/>
      <c r="D52" s="200">
        <f>SUMIF('Budget14-15'!M:M,A52,'Budget14-15'!S:S)</f>
        <v>216015</v>
      </c>
      <c r="E52" s="165">
        <f>SUMIF('Workings Prior Month'!O:O,A52,'Workings Prior Month'!C:C)</f>
        <v>216015</v>
      </c>
      <c r="F52" s="165">
        <f t="shared" si="4"/>
        <v>0</v>
      </c>
      <c r="G52" s="165">
        <f t="shared" si="5"/>
        <v>0</v>
      </c>
      <c r="H52" s="208">
        <f>SUMIF(Workings!O:O,A52,Workings!C:C)</f>
        <v>216015</v>
      </c>
      <c r="I52" s="164"/>
      <c r="J52" s="200">
        <f>SUMIF('Workings Prior Month'!O:O,A52,'Workings Prior Month'!C:C)-SUMIF('Workings Prior Month'!O:O,A52,'Workings Prior Month'!J:J)+SUMIF('Workings Prior Month'!O:O,A52,'Workings Prior Month'!K:K)</f>
        <v>216025.54</v>
      </c>
      <c r="K52" s="208">
        <f t="shared" si="6"/>
        <v>-10.540000000008149</v>
      </c>
      <c r="L52" s="164"/>
      <c r="M52" s="200">
        <f>SUMIF(Workings!O:O,A52,Workings!C:C)-SUMIF(Workings!O:O,A52,Workings!J:J)+SUMIF(Workings!O:O,A52,Workings!K:K)</f>
        <v>216025.54</v>
      </c>
      <c r="N52" s="166">
        <f t="shared" si="7"/>
        <v>0</v>
      </c>
      <c r="O52" s="208">
        <f t="shared" si="8"/>
        <v>-10.540000000008149</v>
      </c>
      <c r="P52" s="218"/>
      <c r="Q52" s="105"/>
      <c r="R52" s="108">
        <v>65003</v>
      </c>
      <c r="S52" s="109">
        <f>1480+350+250+12265+150+1100+3000+17000+8100+500</f>
        <v>44195</v>
      </c>
      <c r="T52" s="110">
        <f aca="true" t="shared" si="9" ref="T52:T58">R52-S52</f>
        <v>20808</v>
      </c>
      <c r="U52" s="107"/>
      <c r="V52" s="129"/>
      <c r="W52" s="129"/>
      <c r="X52" s="129"/>
      <c r="Y52" s="129"/>
      <c r="Z52" s="130">
        <v>1640</v>
      </c>
      <c r="AA52" s="130" t="s">
        <v>466</v>
      </c>
      <c r="AB52" s="130">
        <v>213997</v>
      </c>
      <c r="AC52" s="321">
        <f t="shared" si="0"/>
        <v>216015</v>
      </c>
      <c r="AD52" s="321"/>
      <c r="AE52" s="321">
        <f t="shared" si="1"/>
        <v>-2018</v>
      </c>
    </row>
    <row r="53" spans="1:31" s="130" customFormat="1" ht="12.75">
      <c r="A53" s="148">
        <v>1650</v>
      </c>
      <c r="B53" s="105" t="s">
        <v>467</v>
      </c>
      <c r="C53" s="105"/>
      <c r="D53" s="200">
        <f>SUMIF('Budget14-15'!M:M,A53,'Budget14-15'!S:S)</f>
        <v>78689</v>
      </c>
      <c r="E53" s="165">
        <f>SUMIF('Workings Prior Month'!O:O,A53,'Workings Prior Month'!C:C)</f>
        <v>78689</v>
      </c>
      <c r="F53" s="165">
        <f t="shared" si="4"/>
        <v>0</v>
      </c>
      <c r="G53" s="165">
        <f t="shared" si="5"/>
        <v>0</v>
      </c>
      <c r="H53" s="208">
        <f>SUMIF(Workings!O:O,A53,Workings!C:C)</f>
        <v>78689</v>
      </c>
      <c r="I53" s="164"/>
      <c r="J53" s="200">
        <f>SUMIF('Workings Prior Month'!O:O,A53,'Workings Prior Month'!C:C)-SUMIF('Workings Prior Month'!O:O,A53,'Workings Prior Month'!J:J)+SUMIF('Workings Prior Month'!O:O,A53,'Workings Prior Month'!K:K)</f>
        <v>78689</v>
      </c>
      <c r="K53" s="208">
        <f t="shared" si="6"/>
        <v>0</v>
      </c>
      <c r="L53" s="164"/>
      <c r="M53" s="200">
        <f>SUMIF(Workings!O:O,A53,Workings!C:C)-SUMIF(Workings!O:O,A53,Workings!J:J)+SUMIF(Workings!O:O,A53,Workings!K:K)</f>
        <v>78682.78</v>
      </c>
      <c r="N53" s="166">
        <f t="shared" si="7"/>
        <v>6.220000000001164</v>
      </c>
      <c r="O53" s="208">
        <f t="shared" si="8"/>
        <v>6.220000000001164</v>
      </c>
      <c r="P53" s="218"/>
      <c r="Q53" s="105"/>
      <c r="R53" s="108">
        <v>111100</v>
      </c>
      <c r="S53" s="109">
        <f>3000+4850+20000+83300+50+5000+1000+350</f>
        <v>117550</v>
      </c>
      <c r="T53" s="110">
        <f t="shared" si="9"/>
        <v>-6450</v>
      </c>
      <c r="U53" s="107"/>
      <c r="V53" s="129"/>
      <c r="W53" s="129"/>
      <c r="X53" s="129"/>
      <c r="Y53" s="129"/>
      <c r="Z53" s="130">
        <v>1650</v>
      </c>
      <c r="AA53" s="130" t="s">
        <v>467</v>
      </c>
      <c r="AB53" s="130">
        <v>237478</v>
      </c>
      <c r="AC53" s="321">
        <f t="shared" si="0"/>
        <v>78689</v>
      </c>
      <c r="AD53" s="321"/>
      <c r="AE53" s="321">
        <f t="shared" si="1"/>
        <v>158789</v>
      </c>
    </row>
    <row r="54" spans="1:31" s="130" customFormat="1" ht="12.75">
      <c r="A54" s="148">
        <v>1660</v>
      </c>
      <c r="B54" s="105" t="s">
        <v>103</v>
      </c>
      <c r="C54" s="105"/>
      <c r="D54" s="200">
        <f>SUMIF('Budget14-15'!M:M,A54,'Budget14-15'!S:S)</f>
        <v>0</v>
      </c>
      <c r="E54" s="165">
        <f>SUMIF('Workings Prior Month'!O:O,A54,'Workings Prior Month'!C:C)</f>
        <v>0</v>
      </c>
      <c r="F54" s="165">
        <f t="shared" si="4"/>
        <v>0</v>
      </c>
      <c r="G54" s="165">
        <f t="shared" si="5"/>
        <v>0</v>
      </c>
      <c r="H54" s="208">
        <f>SUMIF(Workings!O:O,A54,Workings!C:C)</f>
        <v>0</v>
      </c>
      <c r="I54" s="164"/>
      <c r="J54" s="200">
        <f>SUMIF('Workings Prior Month'!O:O,A54,'Workings Prior Month'!C:C)-SUMIF('Workings Prior Month'!O:O,A54,'Workings Prior Month'!J:J)+SUMIF('Workings Prior Month'!O:O,A54,'Workings Prior Month'!K:K)</f>
        <v>0</v>
      </c>
      <c r="K54" s="208">
        <f t="shared" si="6"/>
        <v>0</v>
      </c>
      <c r="L54" s="164"/>
      <c r="M54" s="200">
        <f>SUMIF(Workings!O:O,A54,Workings!C:C)-SUMIF(Workings!O:O,A54,Workings!J:J)+SUMIF(Workings!O:O,A54,Workings!K:K)</f>
        <v>0</v>
      </c>
      <c r="N54" s="166">
        <f t="shared" si="7"/>
        <v>0</v>
      </c>
      <c r="O54" s="208">
        <f t="shared" si="8"/>
        <v>0</v>
      </c>
      <c r="P54" s="218"/>
      <c r="Q54" s="105"/>
      <c r="R54" s="108">
        <v>0</v>
      </c>
      <c r="S54" s="109">
        <v>0</v>
      </c>
      <c r="T54" s="110">
        <f t="shared" si="9"/>
        <v>0</v>
      </c>
      <c r="U54" s="107"/>
      <c r="V54" s="129"/>
      <c r="W54" s="129"/>
      <c r="X54" s="129"/>
      <c r="Y54" s="129"/>
      <c r="Z54" s="130">
        <v>1660</v>
      </c>
      <c r="AA54" s="130" t="s">
        <v>103</v>
      </c>
      <c r="AB54" s="130">
        <v>0</v>
      </c>
      <c r="AC54" s="321">
        <f t="shared" si="0"/>
        <v>0</v>
      </c>
      <c r="AD54" s="321"/>
      <c r="AE54" s="321">
        <f t="shared" si="1"/>
        <v>0</v>
      </c>
    </row>
    <row r="55" spans="1:31" s="130" customFormat="1" ht="12.75">
      <c r="A55" s="148">
        <v>1670</v>
      </c>
      <c r="B55" s="105" t="s">
        <v>468</v>
      </c>
      <c r="C55" s="105"/>
      <c r="D55" s="200">
        <f>SUMIF('Budget14-15'!M:M,A55,'Budget14-15'!S:S)</f>
        <v>10750</v>
      </c>
      <c r="E55" s="165">
        <f>SUMIF('Workings Prior Month'!O:O,A55,'Workings Prior Month'!C:C)</f>
        <v>10750</v>
      </c>
      <c r="F55" s="165">
        <f t="shared" si="4"/>
        <v>0</v>
      </c>
      <c r="G55" s="165">
        <f t="shared" si="5"/>
        <v>0</v>
      </c>
      <c r="H55" s="208">
        <f>SUMIF(Workings!O:O,A55,Workings!C:C)</f>
        <v>10750</v>
      </c>
      <c r="I55" s="164"/>
      <c r="J55" s="200">
        <f>SUMIF('Workings Prior Month'!O:O,A55,'Workings Prior Month'!C:C)-SUMIF('Workings Prior Month'!O:O,A55,'Workings Prior Month'!J:J)+SUMIF('Workings Prior Month'!O:O,A55,'Workings Prior Month'!K:K)</f>
        <v>11095</v>
      </c>
      <c r="K55" s="208">
        <f t="shared" si="6"/>
        <v>-345</v>
      </c>
      <c r="L55" s="164"/>
      <c r="M55" s="200">
        <f>SUMIF(Workings!O:O,A55,Workings!C:C)-SUMIF(Workings!O:O,A55,Workings!J:J)+SUMIF(Workings!O:O,A55,Workings!K:K)</f>
        <v>11095</v>
      </c>
      <c r="N55" s="166">
        <f t="shared" si="7"/>
        <v>0</v>
      </c>
      <c r="O55" s="208">
        <f t="shared" si="8"/>
        <v>-345</v>
      </c>
      <c r="P55" s="218"/>
      <c r="Q55" s="105"/>
      <c r="R55" s="108">
        <v>7500</v>
      </c>
      <c r="S55" s="109">
        <v>9200</v>
      </c>
      <c r="T55" s="110">
        <f t="shared" si="9"/>
        <v>-1700</v>
      </c>
      <c r="U55" s="107"/>
      <c r="V55" s="129"/>
      <c r="W55" s="129"/>
      <c r="X55" s="129"/>
      <c r="Y55" s="129"/>
      <c r="Z55" s="130">
        <v>1670</v>
      </c>
      <c r="AA55" s="130" t="s">
        <v>468</v>
      </c>
      <c r="AB55" s="130">
        <v>11000</v>
      </c>
      <c r="AC55" s="321">
        <f t="shared" si="0"/>
        <v>10750</v>
      </c>
      <c r="AD55" s="321"/>
      <c r="AE55" s="321">
        <f t="shared" si="1"/>
        <v>250</v>
      </c>
    </row>
    <row r="56" spans="1:31" s="130" customFormat="1" ht="12.75">
      <c r="A56" s="148">
        <v>1680</v>
      </c>
      <c r="B56" s="105" t="s">
        <v>469</v>
      </c>
      <c r="C56" s="105"/>
      <c r="D56" s="200">
        <f>SUMIF('Budget14-15'!M:M,A56,'Budget14-15'!S:S)</f>
        <v>10500</v>
      </c>
      <c r="E56" s="165">
        <f>SUMIF('Workings Prior Month'!O:O,A56,'Workings Prior Month'!C:C)</f>
        <v>10500</v>
      </c>
      <c r="F56" s="165">
        <f t="shared" si="4"/>
        <v>0</v>
      </c>
      <c r="G56" s="165">
        <f t="shared" si="5"/>
        <v>0</v>
      </c>
      <c r="H56" s="208">
        <f>SUMIF(Workings!O:O,A56,Workings!C:C)</f>
        <v>10500</v>
      </c>
      <c r="I56" s="164"/>
      <c r="J56" s="200">
        <f>SUMIF('Workings Prior Month'!O:O,A56,'Workings Prior Month'!C:C)-SUMIF('Workings Prior Month'!O:O,A56,'Workings Prior Month'!J:J)+SUMIF('Workings Prior Month'!O:O,A56,'Workings Prior Month'!K:K)</f>
        <v>10392</v>
      </c>
      <c r="K56" s="208">
        <f t="shared" si="6"/>
        <v>108</v>
      </c>
      <c r="L56" s="164"/>
      <c r="M56" s="200">
        <f>SUMIF(Workings!O:O,A56,Workings!C:C)-SUMIF(Workings!O:O,A56,Workings!J:J)+SUMIF(Workings!O:O,A56,Workings!K:K)</f>
        <v>10254</v>
      </c>
      <c r="N56" s="166">
        <f t="shared" si="7"/>
        <v>138</v>
      </c>
      <c r="O56" s="208">
        <f t="shared" si="8"/>
        <v>246</v>
      </c>
      <c r="P56" s="218"/>
      <c r="Q56" s="105"/>
      <c r="R56" s="133">
        <v>12000</v>
      </c>
      <c r="S56" s="109">
        <f>6500+3000</f>
        <v>9500</v>
      </c>
      <c r="T56" s="110">
        <f t="shared" si="9"/>
        <v>2500</v>
      </c>
      <c r="U56" s="107"/>
      <c r="V56" s="129"/>
      <c r="W56" s="129"/>
      <c r="X56" s="129"/>
      <c r="Y56" s="129"/>
      <c r="Z56" s="130">
        <v>1680</v>
      </c>
      <c r="AA56" s="130" t="s">
        <v>469</v>
      </c>
      <c r="AB56" s="130">
        <v>15166</v>
      </c>
      <c r="AC56" s="321">
        <f t="shared" si="0"/>
        <v>10500</v>
      </c>
      <c r="AD56" s="321"/>
      <c r="AE56" s="321">
        <f t="shared" si="1"/>
        <v>4666</v>
      </c>
    </row>
    <row r="57" spans="1:31" s="130" customFormat="1" ht="12.75">
      <c r="A57" s="148">
        <v>1690</v>
      </c>
      <c r="B57" s="105" t="s">
        <v>470</v>
      </c>
      <c r="C57" s="105"/>
      <c r="D57" s="200">
        <f>SUMIF('Budget14-15'!M:M,A57,'Budget14-15'!S:S)</f>
        <v>0</v>
      </c>
      <c r="E57" s="165">
        <f>SUMIF('Workings Prior Month'!O:O,A57,'Workings Prior Month'!C:C)</f>
        <v>0</v>
      </c>
      <c r="F57" s="165">
        <f t="shared" si="4"/>
        <v>0</v>
      </c>
      <c r="G57" s="165">
        <f t="shared" si="5"/>
        <v>0</v>
      </c>
      <c r="H57" s="208">
        <f>SUMIF(Workings!O:O,A57,Workings!C:C)</f>
        <v>0</v>
      </c>
      <c r="I57" s="164"/>
      <c r="J57" s="200">
        <f>SUMIF('Workings Prior Month'!O:O,A57,'Workings Prior Month'!C:C)-SUMIF('Workings Prior Month'!O:O,A57,'Workings Prior Month'!J:J)+SUMIF('Workings Prior Month'!O:O,A57,'Workings Prior Month'!K:K)</f>
        <v>0</v>
      </c>
      <c r="K57" s="208">
        <f t="shared" si="6"/>
        <v>0</v>
      </c>
      <c r="L57" s="164"/>
      <c r="M57" s="200">
        <f>SUMIF(Workings!O:O,A57,Workings!C:C)-SUMIF(Workings!O:O,A57,Workings!J:J)+SUMIF(Workings!O:O,A57,Workings!K:K)</f>
        <v>0</v>
      </c>
      <c r="N57" s="166">
        <f t="shared" si="7"/>
        <v>0</v>
      </c>
      <c r="O57" s="208">
        <f t="shared" si="8"/>
        <v>0</v>
      </c>
      <c r="P57" s="218"/>
      <c r="Q57" s="105"/>
      <c r="R57" s="133">
        <v>0</v>
      </c>
      <c r="S57" s="109">
        <v>0</v>
      </c>
      <c r="T57" s="110">
        <f t="shared" si="9"/>
        <v>0</v>
      </c>
      <c r="U57" s="107"/>
      <c r="V57" s="129"/>
      <c r="W57" s="129"/>
      <c r="X57" s="129"/>
      <c r="Y57" s="129"/>
      <c r="Z57" s="130">
        <v>1690</v>
      </c>
      <c r="AA57" s="130" t="s">
        <v>470</v>
      </c>
      <c r="AB57" s="130">
        <v>0</v>
      </c>
      <c r="AC57" s="321">
        <f t="shared" si="0"/>
        <v>0</v>
      </c>
      <c r="AD57" s="321"/>
      <c r="AE57" s="321">
        <f t="shared" si="1"/>
        <v>0</v>
      </c>
    </row>
    <row r="58" spans="1:31" s="130" customFormat="1" ht="13.5" thickBot="1">
      <c r="A58" s="148"/>
      <c r="B58" s="105"/>
      <c r="C58" s="105"/>
      <c r="D58" s="197">
        <f>SUM(D47:D57)</f>
        <v>596072</v>
      </c>
      <c r="E58" s="169">
        <f>SUM(E47:E57)</f>
        <v>599672</v>
      </c>
      <c r="F58" s="169">
        <f>SUM(F47:F57)</f>
        <v>3600</v>
      </c>
      <c r="G58" s="169">
        <f>SUM(G47:G57)</f>
        <v>0</v>
      </c>
      <c r="H58" s="209">
        <f>SUM(H47:H57)</f>
        <v>599672</v>
      </c>
      <c r="I58" s="164"/>
      <c r="J58" s="197">
        <f>SUM(J47:J57)</f>
        <v>599868.74</v>
      </c>
      <c r="K58" s="209">
        <f>SUM(K47:K57)</f>
        <v>-196.74000000000524</v>
      </c>
      <c r="L58" s="164"/>
      <c r="M58" s="197">
        <f>SUM(M47:M57)</f>
        <v>599780.3400000001</v>
      </c>
      <c r="N58" s="169">
        <f>SUM(N47:N57)</f>
        <v>88.39999999999418</v>
      </c>
      <c r="O58" s="209">
        <f>SUM(O47:O57)</f>
        <v>-108.34000000001106</v>
      </c>
      <c r="P58" s="218"/>
      <c r="Q58" s="105"/>
      <c r="R58" s="115">
        <v>509966</v>
      </c>
      <c r="S58" s="116">
        <f>SUM(S47:S57)</f>
        <v>513319</v>
      </c>
      <c r="T58" s="117">
        <f t="shared" si="9"/>
        <v>-3353</v>
      </c>
      <c r="U58" s="107"/>
      <c r="V58" s="129"/>
      <c r="W58" s="129"/>
      <c r="X58" s="129"/>
      <c r="Y58" s="129"/>
      <c r="AB58" s="130">
        <v>830314</v>
      </c>
      <c r="AC58" s="321">
        <f t="shared" si="0"/>
        <v>596072</v>
      </c>
      <c r="AD58" s="321"/>
      <c r="AE58" s="321">
        <f t="shared" si="1"/>
        <v>234242</v>
      </c>
    </row>
    <row r="59" spans="1:31" s="130" customFormat="1" ht="12.75">
      <c r="A59" s="148"/>
      <c r="B59" s="118" t="s">
        <v>471</v>
      </c>
      <c r="C59" s="118"/>
      <c r="D59" s="198"/>
      <c r="E59" s="166"/>
      <c r="F59" s="166"/>
      <c r="G59" s="166"/>
      <c r="H59" s="208"/>
      <c r="I59" s="164"/>
      <c r="J59" s="203"/>
      <c r="K59" s="210"/>
      <c r="L59" s="167"/>
      <c r="M59" s="203"/>
      <c r="N59" s="171"/>
      <c r="O59" s="210"/>
      <c r="P59" s="237"/>
      <c r="Q59" s="118"/>
      <c r="R59" s="108" t="s">
        <v>452</v>
      </c>
      <c r="S59" s="109"/>
      <c r="T59" s="110"/>
      <c r="U59" s="107"/>
      <c r="V59" s="129"/>
      <c r="W59" s="129"/>
      <c r="X59" s="129"/>
      <c r="Y59" s="129"/>
      <c r="AA59" s="130" t="s">
        <v>471</v>
      </c>
      <c r="AC59" s="321">
        <f t="shared" si="0"/>
        <v>0</v>
      </c>
      <c r="AD59" s="321"/>
      <c r="AE59" s="321">
        <f t="shared" si="1"/>
        <v>0</v>
      </c>
    </row>
    <row r="60" spans="1:31" s="130" customFormat="1" ht="12.75">
      <c r="A60" s="148">
        <v>1800</v>
      </c>
      <c r="B60" s="105" t="s">
        <v>472</v>
      </c>
      <c r="C60" s="105"/>
      <c r="D60" s="200">
        <f>SUMIF('Budget14-15'!M:M,A60,'Budget14-15'!S:S)</f>
        <v>14500</v>
      </c>
      <c r="E60" s="165">
        <f>SUMIF('Workings Prior Month'!O:O,A60,'Workings Prior Month'!C:C)</f>
        <v>14500</v>
      </c>
      <c r="F60" s="165">
        <f>+E60-D60</f>
        <v>0</v>
      </c>
      <c r="G60" s="165">
        <f>+H60-E60</f>
        <v>0</v>
      </c>
      <c r="H60" s="208">
        <f>SUMIF(Workings!O:O,A60,Workings!C:C)</f>
        <v>14500</v>
      </c>
      <c r="I60" s="164"/>
      <c r="J60" s="200">
        <f>SUMIF('Workings Prior Month'!O:O,A60,'Workings Prior Month'!C:C)-SUMIF('Workings Prior Month'!O:O,A60,'Workings Prior Month'!J:J)+SUMIF('Workings Prior Month'!O:O,A60,'Workings Prior Month'!K:K)</f>
        <v>14169.41</v>
      </c>
      <c r="K60" s="208">
        <f>+H60-J60</f>
        <v>330.59000000000015</v>
      </c>
      <c r="L60" s="164"/>
      <c r="M60" s="200">
        <f>SUMIF(Workings!O:O,A60,Workings!C:C)-SUMIF(Workings!O:O,A60,Workings!J:J)+SUMIF(Workings!O:O,A60,Workings!K:K)</f>
        <v>14499.99</v>
      </c>
      <c r="N60" s="166">
        <f>-K60+O60</f>
        <v>-330.5799999999999</v>
      </c>
      <c r="O60" s="208">
        <f>+H60-M60</f>
        <v>0.010000000000218279</v>
      </c>
      <c r="P60" s="218"/>
      <c r="Q60" s="105"/>
      <c r="R60" s="108">
        <v>20000</v>
      </c>
      <c r="S60" s="109">
        <f>3000</f>
        <v>3000</v>
      </c>
      <c r="T60" s="110">
        <f>R60-S60</f>
        <v>17000</v>
      </c>
      <c r="U60" s="107"/>
      <c r="V60" s="129"/>
      <c r="W60" s="129"/>
      <c r="X60" s="129"/>
      <c r="Y60" s="129"/>
      <c r="Z60" s="130">
        <v>1800</v>
      </c>
      <c r="AA60" s="130" t="s">
        <v>472</v>
      </c>
      <c r="AB60" s="130">
        <v>16000</v>
      </c>
      <c r="AC60" s="321">
        <f t="shared" si="0"/>
        <v>14500</v>
      </c>
      <c r="AD60" s="321"/>
      <c r="AE60" s="321">
        <f t="shared" si="1"/>
        <v>1500</v>
      </c>
    </row>
    <row r="61" spans="1:31" s="130" customFormat="1" ht="12.75">
      <c r="A61" s="148">
        <v>1810</v>
      </c>
      <c r="B61" s="105" t="s">
        <v>473</v>
      </c>
      <c r="C61" s="105"/>
      <c r="D61" s="200">
        <f>SUMIF('Budget14-15'!M:M,A61,'Budget14-15'!S:S)</f>
        <v>3500</v>
      </c>
      <c r="E61" s="165">
        <f>SUMIF('Workings Prior Month'!O:O,A61,'Workings Prior Month'!C:C)</f>
        <v>3500</v>
      </c>
      <c r="F61" s="165">
        <f>+E61-D61</f>
        <v>0</v>
      </c>
      <c r="G61" s="165">
        <f>+H61-E61</f>
        <v>0</v>
      </c>
      <c r="H61" s="208">
        <f>SUMIF(Workings!O:O,A61,Workings!C:C)</f>
        <v>3500</v>
      </c>
      <c r="I61" s="164"/>
      <c r="J61" s="200">
        <f>SUMIF('Workings Prior Month'!O:O,A61,'Workings Prior Month'!C:C)-SUMIF('Workings Prior Month'!O:O,A61,'Workings Prior Month'!J:J)+SUMIF('Workings Prior Month'!O:O,A61,'Workings Prior Month'!K:K)</f>
        <v>3583.91</v>
      </c>
      <c r="K61" s="208">
        <f>+H61-J61</f>
        <v>-83.90999999999985</v>
      </c>
      <c r="L61" s="164"/>
      <c r="M61" s="200">
        <f>SUMIF(Workings!O:O,A61,Workings!C:C)-SUMIF(Workings!O:O,A61,Workings!J:J)+SUMIF(Workings!O:O,A61,Workings!K:K)</f>
        <v>3763.91</v>
      </c>
      <c r="N61" s="166">
        <f>-K61+O61</f>
        <v>-180</v>
      </c>
      <c r="O61" s="208">
        <f>+H61-M61</f>
        <v>-263.90999999999985</v>
      </c>
      <c r="P61" s="218"/>
      <c r="Q61" s="105"/>
      <c r="R61" s="108">
        <v>115000</v>
      </c>
      <c r="S61" s="109">
        <f>98500+7450+12000</f>
        <v>117950</v>
      </c>
      <c r="T61" s="110">
        <f>R61-S61</f>
        <v>-2950</v>
      </c>
      <c r="U61" s="107"/>
      <c r="V61" s="129"/>
      <c r="W61" s="129"/>
      <c r="X61" s="129"/>
      <c r="Y61" s="129"/>
      <c r="Z61" s="130">
        <v>1810</v>
      </c>
      <c r="AA61" s="130" t="s">
        <v>473</v>
      </c>
      <c r="AB61" s="130">
        <v>3500</v>
      </c>
      <c r="AC61" s="321">
        <f t="shared" si="0"/>
        <v>3500</v>
      </c>
      <c r="AD61" s="321"/>
      <c r="AE61" s="321">
        <f t="shared" si="1"/>
        <v>0</v>
      </c>
    </row>
    <row r="62" spans="1:31" s="130" customFormat="1" ht="12.75">
      <c r="A62" s="148">
        <v>1820</v>
      </c>
      <c r="B62" s="105" t="s">
        <v>474</v>
      </c>
      <c r="C62" s="105"/>
      <c r="D62" s="200">
        <f>SUMIF('Budget14-15'!M:M,A62,'Budget14-15'!S:S)</f>
        <v>36000</v>
      </c>
      <c r="E62" s="165">
        <f>SUMIF('Workings Prior Month'!O:O,A62,'Workings Prior Month'!C:C)</f>
        <v>36000</v>
      </c>
      <c r="F62" s="165">
        <f>+E62-D62</f>
        <v>0</v>
      </c>
      <c r="G62" s="165">
        <f>+H62-E62</f>
        <v>0</v>
      </c>
      <c r="H62" s="208">
        <f>SUMIF(Workings!O:O,A62,Workings!C:C)</f>
        <v>36000</v>
      </c>
      <c r="I62" s="164"/>
      <c r="J62" s="200">
        <f>SUMIF('Workings Prior Month'!O:O,A62,'Workings Prior Month'!C:C)-SUMIF('Workings Prior Month'!O:O,A62,'Workings Prior Month'!J:J)+SUMIF('Workings Prior Month'!O:O,A62,'Workings Prior Month'!K:K)</f>
        <v>36374.89</v>
      </c>
      <c r="K62" s="208">
        <f>+H62-J62</f>
        <v>-374.8899999999994</v>
      </c>
      <c r="L62" s="164"/>
      <c r="M62" s="200">
        <f>SUMIF(Workings!O:O,A62,Workings!C:C)-SUMIF(Workings!O:O,A62,Workings!J:J)+SUMIF(Workings!O:O,A62,Workings!K:K)</f>
        <v>37317.89</v>
      </c>
      <c r="N62" s="166">
        <f>-K62+O62</f>
        <v>-943</v>
      </c>
      <c r="O62" s="208">
        <f>+H62-M62</f>
        <v>-1317.8899999999994</v>
      </c>
      <c r="P62" s="218"/>
      <c r="Q62" s="105"/>
      <c r="R62" s="108">
        <v>60652</v>
      </c>
      <c r="S62" s="109">
        <f>21000+855</f>
        <v>21855</v>
      </c>
      <c r="T62" s="110">
        <f>R62-S62</f>
        <v>38797</v>
      </c>
      <c r="U62" s="107"/>
      <c r="V62" s="129"/>
      <c r="W62" s="129"/>
      <c r="X62" s="129"/>
      <c r="Y62" s="129"/>
      <c r="Z62" s="130">
        <v>1820</v>
      </c>
      <c r="AA62" s="130" t="s">
        <v>474</v>
      </c>
      <c r="AB62" s="130">
        <v>41500</v>
      </c>
      <c r="AC62" s="321">
        <f t="shared" si="0"/>
        <v>36000</v>
      </c>
      <c r="AD62" s="321"/>
      <c r="AE62" s="321">
        <f t="shared" si="1"/>
        <v>5500</v>
      </c>
    </row>
    <row r="63" spans="1:31" s="130" customFormat="1" ht="12.75">
      <c r="A63" s="148">
        <v>1825</v>
      </c>
      <c r="B63" s="105" t="s">
        <v>568</v>
      </c>
      <c r="C63" s="105"/>
      <c r="D63" s="200">
        <f>SUMIF('Budget14-15'!M:M,A63,'Budget14-15'!S:S)</f>
        <v>2500</v>
      </c>
      <c r="E63" s="165">
        <f>SUMIF('Workings Prior Month'!O:O,A63,'Workings Prior Month'!C:C)</f>
        <v>2500</v>
      </c>
      <c r="F63" s="165">
        <f>+E63-D63</f>
        <v>0</v>
      </c>
      <c r="G63" s="165">
        <f>+H63-E63</f>
        <v>0</v>
      </c>
      <c r="H63" s="208">
        <f>SUMIF(Workings!O:O,A63,Workings!C:C)</f>
        <v>2500</v>
      </c>
      <c r="I63" s="164"/>
      <c r="J63" s="200">
        <f>SUMIF('Workings Prior Month'!O:O,A63,'Workings Prior Month'!C:C)-SUMIF('Workings Prior Month'!O:O,A63,'Workings Prior Month'!J:J)+SUMIF('Workings Prior Month'!O:O,A63,'Workings Prior Month'!K:K)</f>
        <v>2500</v>
      </c>
      <c r="K63" s="208">
        <f>+H63-J63</f>
        <v>0</v>
      </c>
      <c r="L63" s="164"/>
      <c r="M63" s="200">
        <f>SUMIF(Workings!O:O,A63,Workings!C:C)-SUMIF(Workings!O:O,A63,Workings!J:J)+SUMIF(Workings!O:O,A63,Workings!K:K)</f>
        <v>2500</v>
      </c>
      <c r="N63" s="166">
        <f>-K63+O63</f>
        <v>0</v>
      </c>
      <c r="O63" s="208">
        <f>+H63-M63</f>
        <v>0</v>
      </c>
      <c r="P63" s="218"/>
      <c r="Q63" s="105"/>
      <c r="R63" s="108"/>
      <c r="S63" s="109"/>
      <c r="T63" s="110"/>
      <c r="U63" s="107"/>
      <c r="V63" s="129"/>
      <c r="W63" s="129"/>
      <c r="X63" s="129"/>
      <c r="Y63" s="129"/>
      <c r="Z63" s="130">
        <v>1825</v>
      </c>
      <c r="AA63" s="130" t="s">
        <v>568</v>
      </c>
      <c r="AB63" s="130">
        <v>3000</v>
      </c>
      <c r="AC63" s="321">
        <f t="shared" si="0"/>
        <v>2500</v>
      </c>
      <c r="AD63" s="321"/>
      <c r="AE63" s="321">
        <f t="shared" si="1"/>
        <v>500</v>
      </c>
    </row>
    <row r="64" spans="1:31" s="130" customFormat="1" ht="12.75">
      <c r="A64" s="148">
        <v>1830</v>
      </c>
      <c r="B64" s="105" t="s">
        <v>475</v>
      </c>
      <c r="C64" s="105"/>
      <c r="D64" s="200">
        <f>SUMIF('Budget14-15'!M:M,A64,'Budget14-15'!S:S)</f>
        <v>11000</v>
      </c>
      <c r="E64" s="165">
        <f>SUMIF('Workings Prior Month'!O:O,A64,'Workings Prior Month'!C:C)</f>
        <v>11000</v>
      </c>
      <c r="F64" s="165">
        <f>+E64-D64</f>
        <v>0</v>
      </c>
      <c r="G64" s="165">
        <f>+H64-E64</f>
        <v>0</v>
      </c>
      <c r="H64" s="208">
        <f>SUMIF(Workings!O:O,A64,Workings!C:C)</f>
        <v>11000</v>
      </c>
      <c r="I64" s="164"/>
      <c r="J64" s="200">
        <f>SUMIF('Workings Prior Month'!O:O,A64,'Workings Prior Month'!C:C)-SUMIF('Workings Prior Month'!O:O,A64,'Workings Prior Month'!J:J)+SUMIF('Workings Prior Month'!O:O,A64,'Workings Prior Month'!K:K)</f>
        <v>11000</v>
      </c>
      <c r="K64" s="208">
        <f>+H64-J64</f>
        <v>0</v>
      </c>
      <c r="L64" s="164"/>
      <c r="M64" s="200">
        <f>SUMIF(Workings!O:O,A64,Workings!C:C)-SUMIF(Workings!O:O,A64,Workings!J:J)+SUMIF(Workings!O:O,A64,Workings!K:K)</f>
        <v>11000</v>
      </c>
      <c r="N64" s="166">
        <f>-K64+O64</f>
        <v>0</v>
      </c>
      <c r="O64" s="208">
        <f>+H64-M64</f>
        <v>0</v>
      </c>
      <c r="P64" s="218"/>
      <c r="Q64" s="105"/>
      <c r="R64" s="131">
        <v>32000</v>
      </c>
      <c r="S64" s="109">
        <f>15424-2000+14000+11000</f>
        <v>38424</v>
      </c>
      <c r="T64" s="110">
        <f>R64-S64</f>
        <v>-6424</v>
      </c>
      <c r="U64" s="107"/>
      <c r="V64" s="129"/>
      <c r="W64" s="129"/>
      <c r="X64" s="129"/>
      <c r="Y64" s="129"/>
      <c r="Z64" s="130">
        <v>1830</v>
      </c>
      <c r="AA64" s="130" t="s">
        <v>475</v>
      </c>
      <c r="AB64" s="130">
        <v>13500</v>
      </c>
      <c r="AC64" s="321">
        <f t="shared" si="0"/>
        <v>11000</v>
      </c>
      <c r="AD64" s="321"/>
      <c r="AE64" s="321">
        <f t="shared" si="1"/>
        <v>2500</v>
      </c>
    </row>
    <row r="65" spans="1:31" s="130" customFormat="1" ht="13.5" thickBot="1">
      <c r="A65" s="148"/>
      <c r="B65" s="105"/>
      <c r="C65" s="105"/>
      <c r="D65" s="197">
        <f>SUM(D60:D64)</f>
        <v>67500</v>
      </c>
      <c r="E65" s="169">
        <f>SUM(E60:E64)</f>
        <v>67500</v>
      </c>
      <c r="F65" s="169">
        <f>SUM(F60:F64)</f>
        <v>0</v>
      </c>
      <c r="G65" s="169">
        <f>SUM(G60:G64)</f>
        <v>0</v>
      </c>
      <c r="H65" s="209">
        <f>SUM(H60:H64)</f>
        <v>67500</v>
      </c>
      <c r="I65" s="164"/>
      <c r="J65" s="197">
        <f>SUM(J60:J64)</f>
        <v>67628.20999999999</v>
      </c>
      <c r="K65" s="209">
        <f>SUM(K60:K64)</f>
        <v>-128.20999999999913</v>
      </c>
      <c r="L65" s="164"/>
      <c r="M65" s="197">
        <f>SUM(M60:M64)</f>
        <v>69081.79000000001</v>
      </c>
      <c r="N65" s="169">
        <f>SUM(N60:N64)</f>
        <v>-1453.58</v>
      </c>
      <c r="O65" s="209">
        <f>SUM(O60:O64)</f>
        <v>-1581.789999999999</v>
      </c>
      <c r="P65" s="218"/>
      <c r="Q65" s="105"/>
      <c r="R65" s="132">
        <v>227652</v>
      </c>
      <c r="S65" s="116">
        <f>SUM(S60:S64)</f>
        <v>181229</v>
      </c>
      <c r="T65" s="117">
        <f>R65-S65</f>
        <v>46423</v>
      </c>
      <c r="U65" s="107"/>
      <c r="V65" s="129"/>
      <c r="W65" s="129"/>
      <c r="X65" s="129"/>
      <c r="Y65" s="129"/>
      <c r="AB65" s="130">
        <v>77500</v>
      </c>
      <c r="AC65" s="321">
        <f t="shared" si="0"/>
        <v>67500</v>
      </c>
      <c r="AD65" s="321"/>
      <c r="AE65" s="321">
        <f t="shared" si="1"/>
        <v>10000</v>
      </c>
    </row>
    <row r="66" spans="1:31" s="130" customFormat="1" ht="12.75">
      <c r="A66" s="148"/>
      <c r="B66" s="118" t="s">
        <v>476</v>
      </c>
      <c r="C66" s="118"/>
      <c r="D66" s="198"/>
      <c r="E66" s="166"/>
      <c r="F66" s="166"/>
      <c r="G66" s="166"/>
      <c r="H66" s="208"/>
      <c r="I66" s="164"/>
      <c r="J66" s="203"/>
      <c r="K66" s="210"/>
      <c r="L66" s="167"/>
      <c r="M66" s="203"/>
      <c r="N66" s="171"/>
      <c r="O66" s="210"/>
      <c r="P66" s="237"/>
      <c r="Q66" s="118"/>
      <c r="R66" s="131"/>
      <c r="S66" s="109"/>
      <c r="T66" s="110"/>
      <c r="U66" s="107"/>
      <c r="V66" s="129"/>
      <c r="W66" s="129"/>
      <c r="X66" s="129"/>
      <c r="Y66" s="129"/>
      <c r="AA66" s="130" t="s">
        <v>476</v>
      </c>
      <c r="AC66" s="321">
        <f t="shared" si="0"/>
        <v>0</v>
      </c>
      <c r="AD66" s="321"/>
      <c r="AE66" s="321">
        <f t="shared" si="1"/>
        <v>0</v>
      </c>
    </row>
    <row r="67" spans="1:31" s="130" customFormat="1" ht="12.75">
      <c r="A67" s="148">
        <v>1900</v>
      </c>
      <c r="B67" s="105" t="s">
        <v>477</v>
      </c>
      <c r="C67" s="105"/>
      <c r="D67" s="200">
        <f>SUMIF('Budget14-15'!M:M,A67,'Budget14-15'!S:S)</f>
        <v>1000</v>
      </c>
      <c r="E67" s="165">
        <f>SUMIF('Workings Prior Month'!O:O,A67,'Workings Prior Month'!C:C)</f>
        <v>1000</v>
      </c>
      <c r="F67" s="165">
        <f>+E67-D67</f>
        <v>0</v>
      </c>
      <c r="G67" s="165">
        <f>+H67-E67</f>
        <v>0</v>
      </c>
      <c r="H67" s="208">
        <f>SUMIF(Workings!O:O,A67,Workings!C:C)</f>
        <v>1000</v>
      </c>
      <c r="I67" s="164"/>
      <c r="J67" s="200">
        <f>SUMIF('Workings Prior Month'!O:O,A67,'Workings Prior Month'!C:C)-SUMIF('Workings Prior Month'!O:O,A67,'Workings Prior Month'!J:J)+SUMIF('Workings Prior Month'!O:O,A67,'Workings Prior Month'!K:K)</f>
        <v>1000</v>
      </c>
      <c r="K67" s="208">
        <f>+H67-J67</f>
        <v>0</v>
      </c>
      <c r="L67" s="164"/>
      <c r="M67" s="200">
        <f>SUMIF(Workings!O:O,A67,Workings!C:C)-SUMIF(Workings!O:O,A67,Workings!J:J)+SUMIF(Workings!O:O,A67,Workings!K:K)</f>
        <v>1000</v>
      </c>
      <c r="N67" s="166">
        <f>-K67+O67</f>
        <v>0</v>
      </c>
      <c r="O67" s="208">
        <f>+H67-M67</f>
        <v>0</v>
      </c>
      <c r="P67" s="218"/>
      <c r="Q67" s="105"/>
      <c r="R67" s="108">
        <v>5000</v>
      </c>
      <c r="S67" s="109">
        <v>11000</v>
      </c>
      <c r="T67" s="110">
        <f>R67-S67</f>
        <v>-6000</v>
      </c>
      <c r="U67" s="107"/>
      <c r="V67" s="129"/>
      <c r="W67" s="129"/>
      <c r="X67" s="129"/>
      <c r="Y67" s="129"/>
      <c r="Z67" s="130">
        <v>1900</v>
      </c>
      <c r="AA67" s="130" t="s">
        <v>477</v>
      </c>
      <c r="AB67" s="130">
        <v>2500</v>
      </c>
      <c r="AC67" s="321">
        <f t="shared" si="0"/>
        <v>1000</v>
      </c>
      <c r="AD67" s="321"/>
      <c r="AE67" s="321">
        <f t="shared" si="1"/>
        <v>1500</v>
      </c>
    </row>
    <row r="68" spans="1:31" s="130" customFormat="1" ht="13.5" thickBot="1">
      <c r="A68" s="148"/>
      <c r="B68" s="105"/>
      <c r="C68" s="105"/>
      <c r="D68" s="197">
        <f>SUM(D67)</f>
        <v>1000</v>
      </c>
      <c r="E68" s="169">
        <f>SUM(E67)</f>
        <v>1000</v>
      </c>
      <c r="F68" s="169">
        <f>SUM(F67)</f>
        <v>0</v>
      </c>
      <c r="G68" s="169">
        <f>SUM(G67)</f>
        <v>0</v>
      </c>
      <c r="H68" s="209">
        <f>SUM(H67)</f>
        <v>1000</v>
      </c>
      <c r="I68" s="164"/>
      <c r="J68" s="197">
        <f>SUM(J67)</f>
        <v>1000</v>
      </c>
      <c r="K68" s="209">
        <f>SUM(K67)</f>
        <v>0</v>
      </c>
      <c r="L68" s="164"/>
      <c r="M68" s="197">
        <f>SUM(M67)</f>
        <v>1000</v>
      </c>
      <c r="N68" s="169">
        <f>SUM(N67)</f>
        <v>0</v>
      </c>
      <c r="O68" s="209">
        <f>SUM(O67)</f>
        <v>0</v>
      </c>
      <c r="P68" s="218"/>
      <c r="Q68" s="105"/>
      <c r="R68" s="115">
        <v>5000</v>
      </c>
      <c r="S68" s="116">
        <f>SUM(S67)</f>
        <v>11000</v>
      </c>
      <c r="T68" s="117">
        <f>R68-S68</f>
        <v>-6000</v>
      </c>
      <c r="U68" s="107"/>
      <c r="V68" s="129"/>
      <c r="W68" s="129"/>
      <c r="X68" s="129"/>
      <c r="Y68" s="129"/>
      <c r="AB68" s="130">
        <v>2500</v>
      </c>
      <c r="AC68" s="321">
        <f t="shared" si="0"/>
        <v>1000</v>
      </c>
      <c r="AD68" s="321"/>
      <c r="AE68" s="321">
        <f t="shared" si="1"/>
        <v>1500</v>
      </c>
    </row>
    <row r="69" spans="1:31" s="130" customFormat="1" ht="12.75">
      <c r="A69" s="148"/>
      <c r="B69" s="118" t="s">
        <v>478</v>
      </c>
      <c r="C69" s="118"/>
      <c r="D69" s="200"/>
      <c r="E69" s="166"/>
      <c r="F69" s="166"/>
      <c r="G69" s="166"/>
      <c r="H69" s="208"/>
      <c r="I69" s="164"/>
      <c r="J69" s="203"/>
      <c r="K69" s="210"/>
      <c r="L69" s="167"/>
      <c r="M69" s="203"/>
      <c r="N69" s="171"/>
      <c r="O69" s="210"/>
      <c r="P69" s="237"/>
      <c r="Q69" s="118"/>
      <c r="R69" s="108"/>
      <c r="S69" s="109"/>
      <c r="T69" s="110"/>
      <c r="U69" s="107"/>
      <c r="V69" s="129"/>
      <c r="W69" s="129"/>
      <c r="X69" s="129"/>
      <c r="Y69" s="129"/>
      <c r="AA69" s="130" t="s">
        <v>478</v>
      </c>
      <c r="AC69" s="321">
        <f t="shared" si="0"/>
        <v>0</v>
      </c>
      <c r="AD69" s="321"/>
      <c r="AE69" s="321">
        <f t="shared" si="1"/>
        <v>0</v>
      </c>
    </row>
    <row r="70" spans="1:31" s="130" customFormat="1" ht="12.75">
      <c r="A70" s="148">
        <v>2000</v>
      </c>
      <c r="B70" s="105" t="s">
        <v>479</v>
      </c>
      <c r="C70" s="105"/>
      <c r="D70" s="200">
        <f>SUMIF('Budget14-15'!M:M,A70,'Budget14-15'!S:S)</f>
        <v>90000</v>
      </c>
      <c r="E70" s="165">
        <f>SUMIF('Workings Prior Month'!O:O,A70,'Workings Prior Month'!C:C)</f>
        <v>90000</v>
      </c>
      <c r="F70" s="165">
        <f>+E70-D70</f>
        <v>0</v>
      </c>
      <c r="G70" s="165">
        <f>+H70-E70</f>
        <v>0</v>
      </c>
      <c r="H70" s="208">
        <f>SUMIF(Workings!O:O,A70,Workings!C:C)</f>
        <v>90000</v>
      </c>
      <c r="I70" s="164"/>
      <c r="J70" s="200">
        <f>SUMIF('Workings Prior Month'!O:O,A70,'Workings Prior Month'!C:C)-SUMIF('Workings Prior Month'!O:O,A70,'Workings Prior Month'!J:J)+SUMIF('Workings Prior Month'!O:O,A70,'Workings Prior Month'!K:K)</f>
        <v>90000</v>
      </c>
      <c r="K70" s="208">
        <f>+H70-J70</f>
        <v>0</v>
      </c>
      <c r="L70" s="164"/>
      <c r="M70" s="200">
        <f>SUMIF(Workings!O:O,A70,Workings!C:C)-SUMIF(Workings!O:O,A70,Workings!J:J)+SUMIF(Workings!O:O,A70,Workings!K:K)</f>
        <v>90000</v>
      </c>
      <c r="N70" s="166">
        <f>-K70+O70</f>
        <v>0</v>
      </c>
      <c r="O70" s="208">
        <f>+H70-M70</f>
        <v>0</v>
      </c>
      <c r="P70" s="218"/>
      <c r="Q70" s="105"/>
      <c r="R70" s="108">
        <v>151900</v>
      </c>
      <c r="S70" s="109">
        <f>64000+164700+10500+9000+61485</f>
        <v>309685</v>
      </c>
      <c r="T70" s="110">
        <f>R70-S70</f>
        <v>-157785</v>
      </c>
      <c r="U70" s="127"/>
      <c r="V70" s="129"/>
      <c r="W70" s="129"/>
      <c r="X70" s="129"/>
      <c r="Y70" s="129"/>
      <c r="Z70" s="130">
        <v>2000</v>
      </c>
      <c r="AA70" s="130" t="s">
        <v>479</v>
      </c>
      <c r="AB70" s="130">
        <v>110170</v>
      </c>
      <c r="AC70" s="321">
        <f t="shared" si="0"/>
        <v>90000</v>
      </c>
      <c r="AD70" s="321"/>
      <c r="AE70" s="321">
        <f t="shared" si="1"/>
        <v>20170</v>
      </c>
    </row>
    <row r="71" spans="1:31" s="130" customFormat="1" ht="12.75">
      <c r="A71" s="148">
        <v>2010</v>
      </c>
      <c r="B71" s="105" t="s">
        <v>480</v>
      </c>
      <c r="C71" s="105"/>
      <c r="D71" s="200">
        <f>SUMIF('Budget14-15'!M:M,A71,'Budget14-15'!S:S)</f>
        <v>0</v>
      </c>
      <c r="E71" s="165">
        <f>SUMIF('Workings Prior Month'!O:O,A71,'Workings Prior Month'!C:C)</f>
        <v>0</v>
      </c>
      <c r="F71" s="165">
        <f>+E71-D71</f>
        <v>0</v>
      </c>
      <c r="G71" s="165">
        <f>+H71-E71</f>
        <v>0</v>
      </c>
      <c r="H71" s="208">
        <f>SUMIF(Workings!O:O,A71,Workings!C:C)</f>
        <v>0</v>
      </c>
      <c r="I71" s="164"/>
      <c r="J71" s="200">
        <f>SUMIF('Workings Prior Month'!O:O,A71,'Workings Prior Month'!C:C)-SUMIF('Workings Prior Month'!O:O,A71,'Workings Prior Month'!J:J)+SUMIF('Workings Prior Month'!O:O,A71,'Workings Prior Month'!K:K)</f>
        <v>0</v>
      </c>
      <c r="K71" s="208">
        <f>+H71-J71</f>
        <v>0</v>
      </c>
      <c r="L71" s="164"/>
      <c r="M71" s="200">
        <f>SUMIF(Workings!O:O,A71,Workings!C:C)-SUMIF(Workings!O:O,A71,Workings!J:J)+SUMIF(Workings!O:O,A71,Workings!K:K)</f>
        <v>-1448.45</v>
      </c>
      <c r="N71" s="166">
        <f>-K71+O71</f>
        <v>1448.45</v>
      </c>
      <c r="O71" s="208">
        <f>+H71-M71</f>
        <v>1448.45</v>
      </c>
      <c r="P71" s="218" t="s">
        <v>757</v>
      </c>
      <c r="Q71" s="105"/>
      <c r="R71" s="108">
        <v>0</v>
      </c>
      <c r="S71" s="109">
        <v>0</v>
      </c>
      <c r="T71" s="110">
        <f>R71-S71</f>
        <v>0</v>
      </c>
      <c r="U71" s="107"/>
      <c r="V71" s="129"/>
      <c r="W71" s="129"/>
      <c r="X71" s="129"/>
      <c r="Y71" s="129"/>
      <c r="Z71" s="130">
        <v>2010</v>
      </c>
      <c r="AA71" s="130" t="s">
        <v>480</v>
      </c>
      <c r="AB71" s="130">
        <v>0</v>
      </c>
      <c r="AC71" s="321">
        <f t="shared" si="0"/>
        <v>0</v>
      </c>
      <c r="AD71" s="321"/>
      <c r="AE71" s="321">
        <f t="shared" si="1"/>
        <v>0</v>
      </c>
    </row>
    <row r="72" spans="1:31" s="130" customFormat="1" ht="13.5" thickBot="1">
      <c r="A72" s="148"/>
      <c r="B72" s="105"/>
      <c r="C72" s="105"/>
      <c r="D72" s="197">
        <f>SUM(D70:D71)</f>
        <v>90000</v>
      </c>
      <c r="E72" s="169">
        <f>SUM(E70:E71)</f>
        <v>90000</v>
      </c>
      <c r="F72" s="169">
        <f>SUM(F70:F71)</f>
        <v>0</v>
      </c>
      <c r="G72" s="169">
        <f>SUM(G70:G71)</f>
        <v>0</v>
      </c>
      <c r="H72" s="209">
        <f>SUM(H70:H71)</f>
        <v>90000</v>
      </c>
      <c r="I72" s="164"/>
      <c r="J72" s="197">
        <f>SUM(J70:J71)</f>
        <v>90000</v>
      </c>
      <c r="K72" s="209">
        <f>SUM(K70:K71)</f>
        <v>0</v>
      </c>
      <c r="L72" s="164"/>
      <c r="M72" s="197">
        <f>SUM(M70:M71)</f>
        <v>88551.55</v>
      </c>
      <c r="N72" s="169">
        <f>SUM(N70:N71)</f>
        <v>1448.45</v>
      </c>
      <c r="O72" s="209">
        <f>SUM(O70:O71)</f>
        <v>1448.45</v>
      </c>
      <c r="P72" s="218"/>
      <c r="Q72" s="105"/>
      <c r="R72" s="132">
        <v>151900</v>
      </c>
      <c r="S72" s="116">
        <f>SUM(S70:S71)</f>
        <v>309685</v>
      </c>
      <c r="T72" s="117">
        <f>R72-S72</f>
        <v>-157785</v>
      </c>
      <c r="U72" s="107"/>
      <c r="V72" s="129"/>
      <c r="W72" s="129"/>
      <c r="X72" s="129"/>
      <c r="Y72" s="129"/>
      <c r="AB72" s="130">
        <v>110170</v>
      </c>
      <c r="AC72" s="321">
        <f t="shared" si="0"/>
        <v>90000</v>
      </c>
      <c r="AD72" s="321"/>
      <c r="AE72" s="321">
        <f t="shared" si="1"/>
        <v>20170</v>
      </c>
    </row>
    <row r="73" spans="1:31" s="130" customFormat="1" ht="12.75">
      <c r="A73" s="148"/>
      <c r="B73" s="118" t="s">
        <v>481</v>
      </c>
      <c r="C73" s="118"/>
      <c r="D73" s="198"/>
      <c r="E73" s="166"/>
      <c r="F73" s="166"/>
      <c r="G73" s="166"/>
      <c r="H73" s="208"/>
      <c r="I73" s="164"/>
      <c r="J73" s="198"/>
      <c r="K73" s="208"/>
      <c r="L73" s="167"/>
      <c r="M73" s="198"/>
      <c r="N73" s="166"/>
      <c r="O73" s="208"/>
      <c r="P73" s="237"/>
      <c r="Q73" s="118"/>
      <c r="R73" s="108"/>
      <c r="S73" s="109"/>
      <c r="T73" s="110"/>
      <c r="U73" s="107"/>
      <c r="V73" s="129"/>
      <c r="W73" s="129"/>
      <c r="X73" s="129"/>
      <c r="Y73" s="129"/>
      <c r="AA73" s="130" t="s">
        <v>481</v>
      </c>
      <c r="AC73" s="321">
        <f aca="true" t="shared" si="10" ref="AC73:AC119">+D73</f>
        <v>0</v>
      </c>
      <c r="AD73" s="321"/>
      <c r="AE73" s="321">
        <f aca="true" t="shared" si="11" ref="AE73:AE119">+AB73-AC73-AD73</f>
        <v>0</v>
      </c>
    </row>
    <row r="74" spans="1:31" s="130" customFormat="1" ht="12.75">
      <c r="A74" s="148">
        <v>2100</v>
      </c>
      <c r="B74" s="105" t="s">
        <v>482</v>
      </c>
      <c r="C74" s="105"/>
      <c r="D74" s="200">
        <f>SUMIF('Budget14-15'!M:M,A74,'Budget14-15'!S:S)</f>
        <v>14000</v>
      </c>
      <c r="E74" s="165">
        <f>SUMIF('Workings Prior Month'!O:O,A74,'Workings Prior Month'!C:C)</f>
        <v>14000</v>
      </c>
      <c r="F74" s="165">
        <f>+E74-D74</f>
        <v>0</v>
      </c>
      <c r="G74" s="165">
        <f>+H74-E74</f>
        <v>0</v>
      </c>
      <c r="H74" s="208">
        <f>SUMIF(Workings!O:O,A74,Workings!C:C)</f>
        <v>14000</v>
      </c>
      <c r="I74" s="164"/>
      <c r="J74" s="200">
        <f>SUMIF('Workings Prior Month'!O:O,A74,'Workings Prior Month'!C:C)-SUMIF('Workings Prior Month'!O:O,A74,'Workings Prior Month'!J:J)+SUMIF('Workings Prior Month'!O:O,A74,'Workings Prior Month'!K:K)</f>
        <v>14000</v>
      </c>
      <c r="K74" s="208">
        <f>+H74-J74</f>
        <v>0</v>
      </c>
      <c r="L74" s="164"/>
      <c r="M74" s="200">
        <f>SUMIF(Workings!O:O,A74,Workings!C:C)-SUMIF(Workings!O:O,A74,Workings!J:J)+SUMIF(Workings!O:O,A74,Workings!K:K)</f>
        <v>14000</v>
      </c>
      <c r="N74" s="166">
        <f>-K74+O74</f>
        <v>0</v>
      </c>
      <c r="O74" s="208">
        <f>+H74-M74</f>
        <v>0</v>
      </c>
      <c r="P74" s="218"/>
      <c r="Q74" s="105"/>
      <c r="R74" s="108">
        <v>25000</v>
      </c>
      <c r="S74" s="109">
        <v>27000</v>
      </c>
      <c r="T74" s="110">
        <f>R74-S74</f>
        <v>-2000</v>
      </c>
      <c r="U74" s="107"/>
      <c r="V74" s="129"/>
      <c r="W74" s="129"/>
      <c r="X74" s="129"/>
      <c r="Y74" s="129"/>
      <c r="Z74" s="130">
        <v>2100</v>
      </c>
      <c r="AA74" s="130" t="s">
        <v>482</v>
      </c>
      <c r="AB74" s="130">
        <v>18000</v>
      </c>
      <c r="AC74" s="321">
        <f t="shared" si="10"/>
        <v>14000</v>
      </c>
      <c r="AD74" s="321"/>
      <c r="AE74" s="321">
        <f t="shared" si="11"/>
        <v>4000</v>
      </c>
    </row>
    <row r="75" spans="1:31" s="130" customFormat="1" ht="12.75">
      <c r="A75" s="148">
        <v>2120</v>
      </c>
      <c r="B75" s="105" t="s">
        <v>483</v>
      </c>
      <c r="C75" s="105"/>
      <c r="D75" s="200">
        <f>SUMIF('Budget14-15'!M:M,A75,'Budget14-15'!S:S)</f>
        <v>0</v>
      </c>
      <c r="E75" s="165">
        <f>SUMIF('Workings Prior Month'!O:O,A75,'Workings Prior Month'!C:C)</f>
        <v>0</v>
      </c>
      <c r="F75" s="165">
        <f>+E75-D75</f>
        <v>0</v>
      </c>
      <c r="G75" s="165">
        <f>+H75-E75</f>
        <v>0</v>
      </c>
      <c r="H75" s="208">
        <f>SUMIF(Workings!O:O,A75,Workings!C:C)</f>
        <v>0</v>
      </c>
      <c r="I75" s="164"/>
      <c r="J75" s="200">
        <f>SUMIF('Workings Prior Month'!O:O,A75,'Workings Prior Month'!C:C)-SUMIF('Workings Prior Month'!O:O,A75,'Workings Prior Month'!J:J)+SUMIF('Workings Prior Month'!O:O,A75,'Workings Prior Month'!K:K)</f>
        <v>0</v>
      </c>
      <c r="K75" s="208">
        <f>+H75-J75</f>
        <v>0</v>
      </c>
      <c r="L75" s="164"/>
      <c r="M75" s="200">
        <f>SUMIF(Workings!O:O,A75,Workings!C:C)-SUMIF(Workings!O:O,A75,Workings!J:J)+SUMIF(Workings!O:O,A75,Workings!K:K)</f>
        <v>0</v>
      </c>
      <c r="N75" s="166">
        <f>-K75+O75</f>
        <v>0</v>
      </c>
      <c r="O75" s="208">
        <f>+H75-M75</f>
        <v>0</v>
      </c>
      <c r="P75" s="218"/>
      <c r="Q75" s="105"/>
      <c r="R75" s="108">
        <v>6500</v>
      </c>
      <c r="S75" s="109">
        <v>0</v>
      </c>
      <c r="T75" s="110">
        <f>R75-S75</f>
        <v>6500</v>
      </c>
      <c r="U75" s="107"/>
      <c r="V75" s="129"/>
      <c r="W75" s="129"/>
      <c r="X75" s="129"/>
      <c r="Y75" s="129"/>
      <c r="Z75" s="130">
        <v>2120</v>
      </c>
      <c r="AA75" s="130" t="s">
        <v>483</v>
      </c>
      <c r="AB75" s="130">
        <v>0</v>
      </c>
      <c r="AC75" s="321">
        <f t="shared" si="10"/>
        <v>0</v>
      </c>
      <c r="AD75" s="321"/>
      <c r="AE75" s="321">
        <f t="shared" si="11"/>
        <v>0</v>
      </c>
    </row>
    <row r="76" spans="1:31" s="130" customFormat="1" ht="13.5" thickBot="1">
      <c r="A76" s="148"/>
      <c r="B76" s="105"/>
      <c r="C76" s="105"/>
      <c r="D76" s="197">
        <f>SUM(D74:D75)</f>
        <v>14000</v>
      </c>
      <c r="E76" s="169">
        <f>SUM(E74:E75)</f>
        <v>14000</v>
      </c>
      <c r="F76" s="169">
        <f>SUM(F74:F75)</f>
        <v>0</v>
      </c>
      <c r="G76" s="169">
        <f>SUM(G74:G75)</f>
        <v>0</v>
      </c>
      <c r="H76" s="209">
        <f>SUM(H74:H75)</f>
        <v>14000</v>
      </c>
      <c r="I76" s="164"/>
      <c r="J76" s="197">
        <f>SUM(J74:J75)</f>
        <v>14000</v>
      </c>
      <c r="K76" s="209">
        <f>SUM(K74:K75)</f>
        <v>0</v>
      </c>
      <c r="L76" s="164"/>
      <c r="M76" s="197">
        <f>SUM(M74:M75)</f>
        <v>14000</v>
      </c>
      <c r="N76" s="169">
        <f>SUM(N74:N75)</f>
        <v>0</v>
      </c>
      <c r="O76" s="209">
        <f>SUM(O74:O75)</f>
        <v>0</v>
      </c>
      <c r="P76" s="218"/>
      <c r="Q76" s="105"/>
      <c r="R76" s="115">
        <v>31500</v>
      </c>
      <c r="S76" s="116">
        <f>SUM(S74:S75)</f>
        <v>27000</v>
      </c>
      <c r="T76" s="117">
        <f>R76-S76</f>
        <v>4500</v>
      </c>
      <c r="U76" s="107"/>
      <c r="V76" s="129"/>
      <c r="W76" s="129"/>
      <c r="X76" s="129"/>
      <c r="Y76" s="129"/>
      <c r="AB76" s="130">
        <v>18000</v>
      </c>
      <c r="AC76" s="321">
        <f t="shared" si="10"/>
        <v>14000</v>
      </c>
      <c r="AD76" s="321"/>
      <c r="AE76" s="321">
        <f t="shared" si="11"/>
        <v>4000</v>
      </c>
    </row>
    <row r="77" spans="1:31" s="130" customFormat="1" ht="12.75">
      <c r="A77" s="148"/>
      <c r="B77" s="118" t="s">
        <v>484</v>
      </c>
      <c r="C77" s="118"/>
      <c r="D77" s="198"/>
      <c r="E77" s="166"/>
      <c r="F77" s="166"/>
      <c r="G77" s="166"/>
      <c r="H77" s="208"/>
      <c r="I77" s="164"/>
      <c r="J77" s="198"/>
      <c r="K77" s="208"/>
      <c r="L77" s="167"/>
      <c r="M77" s="198"/>
      <c r="N77" s="166"/>
      <c r="O77" s="208"/>
      <c r="P77" s="237"/>
      <c r="Q77" s="118"/>
      <c r="R77" s="108" t="s">
        <v>452</v>
      </c>
      <c r="S77" s="109"/>
      <c r="T77" s="110"/>
      <c r="U77" s="107"/>
      <c r="V77" s="129"/>
      <c r="W77" s="129"/>
      <c r="X77" s="129"/>
      <c r="Y77" s="129"/>
      <c r="AA77" s="130" t="s">
        <v>484</v>
      </c>
      <c r="AC77" s="321">
        <f t="shared" si="10"/>
        <v>0</v>
      </c>
      <c r="AD77" s="321"/>
      <c r="AE77" s="321">
        <f t="shared" si="11"/>
        <v>0</v>
      </c>
    </row>
    <row r="78" spans="1:31" s="130" customFormat="1" ht="12.75">
      <c r="A78" s="148">
        <v>2200</v>
      </c>
      <c r="B78" s="105" t="s">
        <v>485</v>
      </c>
      <c r="C78" s="105"/>
      <c r="D78" s="200">
        <f>SUMIF('Budget14-15'!M:M,A78,'Budget14-15'!S:S)</f>
        <v>19000</v>
      </c>
      <c r="E78" s="165">
        <f>SUMIF('Workings Prior Month'!O:O,A78,'Workings Prior Month'!C:C)</f>
        <v>19000</v>
      </c>
      <c r="F78" s="165">
        <f>+E78-D78</f>
        <v>0</v>
      </c>
      <c r="G78" s="165">
        <f>+H78-E78</f>
        <v>0</v>
      </c>
      <c r="H78" s="208">
        <f>SUMIF(Workings!O:O,A78,Workings!C:C)</f>
        <v>19000</v>
      </c>
      <c r="I78" s="164"/>
      <c r="J78" s="200">
        <f>SUMIF('Workings Prior Month'!O:O,A78,'Workings Prior Month'!C:C)-SUMIF('Workings Prior Month'!O:O,A78,'Workings Prior Month'!J:J)+SUMIF('Workings Prior Month'!O:O,A78,'Workings Prior Month'!K:K)</f>
        <v>19000</v>
      </c>
      <c r="K78" s="208">
        <f>+H78-J78</f>
        <v>0</v>
      </c>
      <c r="L78" s="164"/>
      <c r="M78" s="200">
        <f>SUMIF(Workings!O:O,A78,Workings!C:C)-SUMIF(Workings!O:O,A78,Workings!J:J)+SUMIF(Workings!O:O,A78,Workings!K:K)</f>
        <v>19000</v>
      </c>
      <c r="N78" s="166">
        <f>-K78+O78</f>
        <v>0</v>
      </c>
      <c r="O78" s="208">
        <f>+H78-M78</f>
        <v>0</v>
      </c>
      <c r="P78" s="218"/>
      <c r="Q78" s="105"/>
      <c r="R78" s="108">
        <v>36500</v>
      </c>
      <c r="S78" s="109">
        <f>8000+5000+22000+2000</f>
        <v>37000</v>
      </c>
      <c r="T78" s="110">
        <f>R78-S78</f>
        <v>-500</v>
      </c>
      <c r="U78" s="107"/>
      <c r="V78" s="129"/>
      <c r="W78" s="129"/>
      <c r="X78" s="129"/>
      <c r="Y78" s="129"/>
      <c r="Z78" s="130">
        <v>2200</v>
      </c>
      <c r="AA78" s="130" t="s">
        <v>485</v>
      </c>
      <c r="AB78" s="130">
        <v>29500</v>
      </c>
      <c r="AC78" s="321">
        <f t="shared" si="10"/>
        <v>19000</v>
      </c>
      <c r="AD78" s="321"/>
      <c r="AE78" s="321">
        <f t="shared" si="11"/>
        <v>10500</v>
      </c>
    </row>
    <row r="79" spans="1:31" s="130" customFormat="1" ht="12.75">
      <c r="A79" s="148">
        <v>2210</v>
      </c>
      <c r="B79" s="105" t="s">
        <v>486</v>
      </c>
      <c r="C79" s="105"/>
      <c r="D79" s="200">
        <f>SUMIF('Budget14-15'!M:M,A79,'Budget14-15'!S:S)</f>
        <v>0</v>
      </c>
      <c r="E79" s="165">
        <f>SUMIF('Workings Prior Month'!O:O,A79,'Workings Prior Month'!C:C)</f>
        <v>0</v>
      </c>
      <c r="F79" s="165">
        <f>+E79-D79</f>
        <v>0</v>
      </c>
      <c r="G79" s="165">
        <f>+H79-E79</f>
        <v>0</v>
      </c>
      <c r="H79" s="208">
        <f>SUMIF(Workings!O:O,A79,Workings!C:C)</f>
        <v>0</v>
      </c>
      <c r="I79" s="164"/>
      <c r="J79" s="200">
        <f>SUMIF('Workings Prior Month'!O:O,A79,'Workings Prior Month'!C:C)-SUMIF('Workings Prior Month'!O:O,A79,'Workings Prior Month'!J:J)+SUMIF('Workings Prior Month'!O:O,A79,'Workings Prior Month'!K:K)</f>
        <v>0</v>
      </c>
      <c r="K79" s="208">
        <f>+H79-J79</f>
        <v>0</v>
      </c>
      <c r="L79" s="164"/>
      <c r="M79" s="200">
        <f>SUMIF(Workings!O:O,A79,Workings!C:C)-SUMIF(Workings!O:O,A79,Workings!J:J)+SUMIF(Workings!O:O,A79,Workings!K:K)</f>
        <v>0</v>
      </c>
      <c r="N79" s="166">
        <f>-K79+O79</f>
        <v>0</v>
      </c>
      <c r="O79" s="208">
        <f>+H79-M79</f>
        <v>0</v>
      </c>
      <c r="P79" s="218"/>
      <c r="Q79" s="105"/>
      <c r="R79" s="131">
        <v>0</v>
      </c>
      <c r="S79" s="109">
        <v>0</v>
      </c>
      <c r="T79" s="110">
        <f>R79-S79</f>
        <v>0</v>
      </c>
      <c r="U79" s="107"/>
      <c r="V79" s="129"/>
      <c r="W79" s="129"/>
      <c r="X79" s="129"/>
      <c r="Y79" s="129"/>
      <c r="Z79" s="130">
        <v>2210</v>
      </c>
      <c r="AA79" s="130" t="s">
        <v>486</v>
      </c>
      <c r="AB79" s="130">
        <v>0</v>
      </c>
      <c r="AC79" s="321">
        <f t="shared" si="10"/>
        <v>0</v>
      </c>
      <c r="AD79" s="321"/>
      <c r="AE79" s="321">
        <f t="shared" si="11"/>
        <v>0</v>
      </c>
    </row>
    <row r="80" spans="1:31" s="130" customFormat="1" ht="12.75">
      <c r="A80" s="148">
        <v>2220</v>
      </c>
      <c r="B80" s="105" t="s">
        <v>487</v>
      </c>
      <c r="C80" s="105"/>
      <c r="D80" s="200">
        <f>SUMIF('Budget14-15'!M:M,A80,'Budget14-15'!S:S)</f>
        <v>0</v>
      </c>
      <c r="E80" s="165">
        <f>SUMIF('Workings Prior Month'!O:O,A80,'Workings Prior Month'!C:C)</f>
        <v>0</v>
      </c>
      <c r="F80" s="165">
        <f>+E80-D80</f>
        <v>0</v>
      </c>
      <c r="G80" s="165">
        <f>+H80-E80</f>
        <v>0</v>
      </c>
      <c r="H80" s="208">
        <f>SUMIF(Workings!O:O,A80,Workings!C:C)</f>
        <v>0</v>
      </c>
      <c r="I80" s="164"/>
      <c r="J80" s="200">
        <f>SUMIF('Workings Prior Month'!O:O,A80,'Workings Prior Month'!C:C)-SUMIF('Workings Prior Month'!O:O,A80,'Workings Prior Month'!J:J)+SUMIF('Workings Prior Month'!O:O,A80,'Workings Prior Month'!K:K)</f>
        <v>0</v>
      </c>
      <c r="K80" s="208">
        <f>+H80-J80</f>
        <v>0</v>
      </c>
      <c r="L80" s="164"/>
      <c r="M80" s="200">
        <f>SUMIF(Workings!O:O,A80,Workings!C:C)-SUMIF(Workings!O:O,A80,Workings!J:J)+SUMIF(Workings!O:O,A80,Workings!K:K)</f>
        <v>0</v>
      </c>
      <c r="N80" s="166">
        <f>-K80+O80</f>
        <v>0</v>
      </c>
      <c r="O80" s="208">
        <f>+H80-M80</f>
        <v>0</v>
      </c>
      <c r="P80" s="218"/>
      <c r="Q80" s="105"/>
      <c r="R80" s="131"/>
      <c r="S80" s="109"/>
      <c r="T80" s="110"/>
      <c r="U80" s="107"/>
      <c r="V80" s="129"/>
      <c r="W80" s="129"/>
      <c r="X80" s="129"/>
      <c r="Y80" s="129"/>
      <c r="Z80" s="130">
        <v>2220</v>
      </c>
      <c r="AA80" s="130" t="s">
        <v>487</v>
      </c>
      <c r="AB80" s="130">
        <v>0</v>
      </c>
      <c r="AC80" s="321">
        <f t="shared" si="10"/>
        <v>0</v>
      </c>
      <c r="AD80" s="321"/>
      <c r="AE80" s="321">
        <f t="shared" si="11"/>
        <v>0</v>
      </c>
    </row>
    <row r="81" spans="1:31" s="130" customFormat="1" ht="12.75">
      <c r="A81" s="148">
        <v>2230</v>
      </c>
      <c r="B81" s="268" t="s">
        <v>567</v>
      </c>
      <c r="C81" s="105"/>
      <c r="D81" s="200">
        <f>SUMIF('Budget14-15'!M:M,A81,'Budget14-15'!S:S)</f>
        <v>2000</v>
      </c>
      <c r="E81" s="165">
        <f>SUMIF('Workings Prior Month'!O:O,A81,'Workings Prior Month'!C:C)</f>
        <v>2000</v>
      </c>
      <c r="F81" s="165">
        <f>+E81-D81</f>
        <v>0</v>
      </c>
      <c r="G81" s="165">
        <f>+H81-E81</f>
        <v>0</v>
      </c>
      <c r="H81" s="208">
        <f>SUMIF(Workings!O:O,A81,Workings!C:C)</f>
        <v>2000</v>
      </c>
      <c r="I81" s="164"/>
      <c r="J81" s="200">
        <f>SUMIF('Workings Prior Month'!O:O,A81,'Workings Prior Month'!C:C)-SUMIF('Workings Prior Month'!O:O,A81,'Workings Prior Month'!J:J)+SUMIF('Workings Prior Month'!O:O,A81,'Workings Prior Month'!K:K)</f>
        <v>2000</v>
      </c>
      <c r="K81" s="208">
        <f>+H81-J81</f>
        <v>0</v>
      </c>
      <c r="L81" s="164"/>
      <c r="M81" s="200">
        <f>SUMIF(Workings!O:O,A81,Workings!C:C)-SUMIF(Workings!O:O,A81,Workings!J:J)+SUMIF(Workings!O:O,A81,Workings!K:K)</f>
        <v>2000</v>
      </c>
      <c r="N81" s="166">
        <f>-K81+O81</f>
        <v>0</v>
      </c>
      <c r="O81" s="208">
        <f>+H81-M81</f>
        <v>0</v>
      </c>
      <c r="P81" s="218"/>
      <c r="Q81" s="105"/>
      <c r="R81" s="108">
        <v>0</v>
      </c>
      <c r="S81" s="109">
        <v>0</v>
      </c>
      <c r="T81" s="110">
        <f>R81-S81</f>
        <v>0</v>
      </c>
      <c r="U81" s="107"/>
      <c r="V81" s="129"/>
      <c r="W81" s="129"/>
      <c r="X81" s="129"/>
      <c r="Y81" s="129"/>
      <c r="Z81" s="130">
        <v>2230</v>
      </c>
      <c r="AA81" s="130" t="s">
        <v>567</v>
      </c>
      <c r="AB81" s="130">
        <v>1500</v>
      </c>
      <c r="AC81" s="321">
        <f t="shared" si="10"/>
        <v>2000</v>
      </c>
      <c r="AD81" s="321"/>
      <c r="AE81" s="321">
        <f t="shared" si="11"/>
        <v>-500</v>
      </c>
    </row>
    <row r="82" spans="1:31" s="130" customFormat="1" ht="13.5" thickBot="1">
      <c r="A82" s="148"/>
      <c r="B82" s="105"/>
      <c r="C82" s="105"/>
      <c r="D82" s="197">
        <f>SUM(D78:D81)</f>
        <v>21000</v>
      </c>
      <c r="E82" s="169">
        <f>SUM(E78:E81)</f>
        <v>21000</v>
      </c>
      <c r="F82" s="169">
        <f>SUM(F78:F81)</f>
        <v>0</v>
      </c>
      <c r="G82" s="169">
        <f>SUM(G78:G81)</f>
        <v>0</v>
      </c>
      <c r="H82" s="209">
        <f>SUM(H78:H81)</f>
        <v>21000</v>
      </c>
      <c r="I82" s="164"/>
      <c r="J82" s="197">
        <f>SUM(J78:J81)</f>
        <v>21000</v>
      </c>
      <c r="K82" s="209">
        <f>SUM(K78:K81)</f>
        <v>0</v>
      </c>
      <c r="L82" s="164"/>
      <c r="M82" s="197">
        <f>SUM(M78:M81)</f>
        <v>21000</v>
      </c>
      <c r="N82" s="169">
        <f>SUM(N78:N81)</f>
        <v>0</v>
      </c>
      <c r="O82" s="209">
        <f>SUM(O78:O81)</f>
        <v>0</v>
      </c>
      <c r="P82" s="218"/>
      <c r="Q82" s="105"/>
      <c r="R82" s="132">
        <v>36500</v>
      </c>
      <c r="S82" s="116">
        <f>SUM(S78:S81)</f>
        <v>37000</v>
      </c>
      <c r="T82" s="117">
        <f>R82-S82</f>
        <v>-500</v>
      </c>
      <c r="U82" s="107"/>
      <c r="V82" s="129"/>
      <c r="W82" s="129"/>
      <c r="X82" s="129"/>
      <c r="Y82" s="129"/>
      <c r="AB82" s="130">
        <v>31000</v>
      </c>
      <c r="AC82" s="321">
        <f t="shared" si="10"/>
        <v>21000</v>
      </c>
      <c r="AD82" s="321"/>
      <c r="AE82" s="321">
        <f t="shared" si="11"/>
        <v>10000</v>
      </c>
    </row>
    <row r="83" spans="1:31" s="130" customFormat="1" ht="12.75">
      <c r="A83" s="148"/>
      <c r="B83" s="105"/>
      <c r="C83" s="105"/>
      <c r="D83" s="198"/>
      <c r="E83" s="166"/>
      <c r="F83" s="166"/>
      <c r="G83" s="166"/>
      <c r="H83" s="208"/>
      <c r="I83" s="164"/>
      <c r="J83" s="198"/>
      <c r="K83" s="208"/>
      <c r="L83" s="164"/>
      <c r="M83" s="198"/>
      <c r="N83" s="166"/>
      <c r="O83" s="208"/>
      <c r="P83" s="218"/>
      <c r="Q83" s="105"/>
      <c r="R83" s="131"/>
      <c r="S83" s="109"/>
      <c r="T83" s="110"/>
      <c r="U83" s="107"/>
      <c r="V83" s="129"/>
      <c r="W83" s="129"/>
      <c r="X83" s="129"/>
      <c r="Y83" s="129"/>
      <c r="AC83" s="321">
        <f t="shared" si="10"/>
        <v>0</v>
      </c>
      <c r="AD83" s="321"/>
      <c r="AE83" s="321">
        <f t="shared" si="11"/>
        <v>0</v>
      </c>
    </row>
    <row r="84" spans="1:31" s="130" customFormat="1" ht="12.75">
      <c r="A84" s="148"/>
      <c r="B84" s="118" t="s">
        <v>488</v>
      </c>
      <c r="C84" s="118"/>
      <c r="D84" s="198"/>
      <c r="E84" s="166"/>
      <c r="F84" s="166"/>
      <c r="G84" s="166"/>
      <c r="H84" s="208"/>
      <c r="I84" s="164"/>
      <c r="J84" s="198"/>
      <c r="K84" s="208"/>
      <c r="L84" s="167"/>
      <c r="M84" s="198"/>
      <c r="N84" s="166"/>
      <c r="O84" s="208"/>
      <c r="P84" s="237"/>
      <c r="Q84" s="118"/>
      <c r="R84" s="108" t="s">
        <v>452</v>
      </c>
      <c r="S84" s="109"/>
      <c r="T84" s="110"/>
      <c r="U84" s="107"/>
      <c r="V84" s="129"/>
      <c r="W84" s="129"/>
      <c r="X84" s="129"/>
      <c r="Y84" s="129"/>
      <c r="AA84" s="130" t="s">
        <v>488</v>
      </c>
      <c r="AC84" s="321">
        <f t="shared" si="10"/>
        <v>0</v>
      </c>
      <c r="AD84" s="321"/>
      <c r="AE84" s="321">
        <f t="shared" si="11"/>
        <v>0</v>
      </c>
    </row>
    <row r="85" spans="1:31" s="130" customFormat="1" ht="12.75">
      <c r="A85" s="148">
        <v>3000</v>
      </c>
      <c r="B85" s="105" t="s">
        <v>489</v>
      </c>
      <c r="C85" s="105"/>
      <c r="D85" s="200">
        <f>SUMIF('Budget14-15'!M:M,A85,'Budget14-15'!S:S)</f>
        <v>125000</v>
      </c>
      <c r="E85" s="165">
        <f>SUMIF('Workings Prior Month'!O:O,A85,'Workings Prior Month'!C:C)</f>
        <v>125000</v>
      </c>
      <c r="F85" s="165">
        <f>+E85-D85</f>
        <v>0</v>
      </c>
      <c r="G85" s="165">
        <f>+H85-E85</f>
        <v>0</v>
      </c>
      <c r="H85" s="208">
        <f>SUMIF(Workings!O:O,A85,Workings!C:C)</f>
        <v>125000</v>
      </c>
      <c r="I85" s="164"/>
      <c r="J85" s="200">
        <f>SUMIF('Workings Prior Month'!O:O,A85,'Workings Prior Month'!C:C)-SUMIF('Workings Prior Month'!O:O,A85,'Workings Prior Month'!J:J)+SUMIF('Workings Prior Month'!O:O,A85,'Workings Prior Month'!K:K)</f>
        <v>125000</v>
      </c>
      <c r="K85" s="208">
        <f>+H85-J85</f>
        <v>0</v>
      </c>
      <c r="L85" s="164"/>
      <c r="M85" s="200">
        <f>SUMIF(Workings!O:O,A85,Workings!C:C)-SUMIF(Workings!O:O,A85,Workings!J:J)+SUMIF(Workings!O:O,A85,Workings!K:K)</f>
        <v>125295.11</v>
      </c>
      <c r="N85" s="166">
        <f>-K85+O85</f>
        <v>-295.1100000000006</v>
      </c>
      <c r="O85" s="208">
        <f>+H85-M85</f>
        <v>-295.1100000000006</v>
      </c>
      <c r="P85" s="218"/>
      <c r="Q85" s="105"/>
      <c r="R85" s="108">
        <v>38820</v>
      </c>
      <c r="S85" s="109">
        <v>41206</v>
      </c>
      <c r="T85" s="110">
        <f>R85-S85</f>
        <v>-2386</v>
      </c>
      <c r="U85" s="107"/>
      <c r="V85" s="129"/>
      <c r="W85" s="129"/>
      <c r="X85" s="129"/>
      <c r="Y85" s="129"/>
      <c r="Z85" s="130">
        <v>3000</v>
      </c>
      <c r="AA85" s="130" t="s">
        <v>489</v>
      </c>
      <c r="AB85" s="130">
        <v>126417</v>
      </c>
      <c r="AC85" s="321">
        <f t="shared" si="10"/>
        <v>125000</v>
      </c>
      <c r="AD85" s="321"/>
      <c r="AE85" s="321">
        <f t="shared" si="11"/>
        <v>1417</v>
      </c>
    </row>
    <row r="86" spans="1:31" s="130" customFormat="1" ht="12.75">
      <c r="A86" s="148">
        <v>3100</v>
      </c>
      <c r="B86" s="105" t="s">
        <v>231</v>
      </c>
      <c r="C86" s="105"/>
      <c r="D86" s="200">
        <f>SUMIF('Budget14-15'!M:M,A86,'Budget14-15'!S:S)</f>
        <v>13000</v>
      </c>
      <c r="E86" s="165">
        <f>SUMIF('Workings Prior Month'!O:O,A86,'Workings Prior Month'!C:C)</f>
        <v>13000</v>
      </c>
      <c r="F86" s="165">
        <f>+E86-D86</f>
        <v>0</v>
      </c>
      <c r="G86" s="165">
        <f>+H86-E86</f>
        <v>0</v>
      </c>
      <c r="H86" s="208">
        <f>SUMIF(Workings!O:O,A86,Workings!C:C)</f>
        <v>13000</v>
      </c>
      <c r="I86" s="164"/>
      <c r="J86" s="200">
        <f>SUMIF('Workings Prior Month'!O:O,A86,'Workings Prior Month'!C:C)-SUMIF('Workings Prior Month'!O:O,A86,'Workings Prior Month'!J:J)+SUMIF('Workings Prior Month'!O:O,A86,'Workings Prior Month'!K:K)</f>
        <v>13000</v>
      </c>
      <c r="K86" s="208">
        <f>+H86-J86</f>
        <v>0</v>
      </c>
      <c r="L86" s="164"/>
      <c r="M86" s="200">
        <f>SUMIF(Workings!O:O,A86,Workings!C:C)-SUMIF(Workings!O:O,A86,Workings!J:J)+SUMIF(Workings!O:O,A86,Workings!K:K)</f>
        <v>13837.95</v>
      </c>
      <c r="N86" s="166">
        <f>-K86+O86</f>
        <v>-837.9500000000007</v>
      </c>
      <c r="O86" s="208">
        <f>+H86-M86</f>
        <v>-837.9500000000007</v>
      </c>
      <c r="P86" s="218"/>
      <c r="Q86" s="105"/>
      <c r="R86" s="108">
        <v>17000</v>
      </c>
      <c r="S86" s="109">
        <v>28980</v>
      </c>
      <c r="T86" s="110">
        <f>R86-S86</f>
        <v>-11980</v>
      </c>
      <c r="U86" s="107"/>
      <c r="V86" s="129"/>
      <c r="W86" s="129"/>
      <c r="X86" s="129"/>
      <c r="Y86" s="129"/>
      <c r="Z86" s="130">
        <v>3100</v>
      </c>
      <c r="AA86" s="130" t="s">
        <v>231</v>
      </c>
      <c r="AB86" s="130">
        <v>14000</v>
      </c>
      <c r="AC86" s="321">
        <f t="shared" si="10"/>
        <v>13000</v>
      </c>
      <c r="AD86" s="321"/>
      <c r="AE86" s="321">
        <f t="shared" si="11"/>
        <v>1000</v>
      </c>
    </row>
    <row r="87" spans="1:31" s="130" customFormat="1" ht="12.75">
      <c r="A87" s="148">
        <v>3200</v>
      </c>
      <c r="B87" s="105" t="s">
        <v>671</v>
      </c>
      <c r="C87" s="105"/>
      <c r="D87" s="200">
        <f>SUMIF('Budget14-15'!M:M,A87,'Budget14-15'!S:S)</f>
        <v>17</v>
      </c>
      <c r="E87" s="165">
        <f>SUMIF('Workings Prior Month'!O:O,A87,'Workings Prior Month'!C:C)</f>
        <v>17</v>
      </c>
      <c r="F87" s="165">
        <f>+E87-D87</f>
        <v>0</v>
      </c>
      <c r="G87" s="165">
        <f>+H87-E87</f>
        <v>0</v>
      </c>
      <c r="H87" s="208">
        <f>SUMIF(Workings!O:O,A87,Workings!C:C)</f>
        <v>17</v>
      </c>
      <c r="I87" s="164"/>
      <c r="J87" s="200">
        <f>SUMIF('Workings Prior Month'!O:O,A87,'Workings Prior Month'!C:C)-SUMIF('Workings Prior Month'!O:O,A87,'Workings Prior Month'!J:J)+SUMIF('Workings Prior Month'!O:O,A87,'Workings Prior Month'!K:K)</f>
        <v>0</v>
      </c>
      <c r="K87" s="208">
        <f>+H87-J87</f>
        <v>17</v>
      </c>
      <c r="L87" s="164"/>
      <c r="M87" s="200">
        <f>SUMIF(Workings!O:O,A87,Workings!C:C)-SUMIF(Workings!O:O,A87,Workings!J:J)+SUMIF(Workings!O:O,A87,Workings!K:K)</f>
        <v>0</v>
      </c>
      <c r="N87" s="166">
        <f>-K87+O87</f>
        <v>0</v>
      </c>
      <c r="O87" s="208">
        <f>+H87-M87</f>
        <v>17</v>
      </c>
      <c r="P87" s="218"/>
      <c r="Q87" s="105"/>
      <c r="R87" s="108"/>
      <c r="S87" s="109"/>
      <c r="T87" s="110"/>
      <c r="U87" s="107"/>
      <c r="V87" s="129"/>
      <c r="W87" s="129"/>
      <c r="X87" s="129"/>
      <c r="Y87" s="129"/>
      <c r="Z87" s="130">
        <v>3200</v>
      </c>
      <c r="AA87" s="130" t="s">
        <v>671</v>
      </c>
      <c r="AB87" s="130">
        <v>242166</v>
      </c>
      <c r="AC87" s="321">
        <f t="shared" si="10"/>
        <v>17</v>
      </c>
      <c r="AD87" s="321"/>
      <c r="AE87" s="321">
        <f t="shared" si="11"/>
        <v>242149</v>
      </c>
    </row>
    <row r="88" spans="1:31" s="130" customFormat="1" ht="13.5" thickBot="1">
      <c r="A88" s="148"/>
      <c r="B88" s="105"/>
      <c r="C88" s="105"/>
      <c r="D88" s="197">
        <f>SUM(D85:D87)</f>
        <v>138017</v>
      </c>
      <c r="E88" s="169">
        <f>SUM(E85:E87)</f>
        <v>138017</v>
      </c>
      <c r="F88" s="169">
        <f>SUM(F85:F87)</f>
        <v>0</v>
      </c>
      <c r="G88" s="169">
        <f>SUM(G85:G87)</f>
        <v>0</v>
      </c>
      <c r="H88" s="209">
        <f>SUM(H85:H87)</f>
        <v>138017</v>
      </c>
      <c r="I88" s="164"/>
      <c r="J88" s="197">
        <f>SUM(J85:J87)</f>
        <v>138000</v>
      </c>
      <c r="K88" s="209">
        <f>SUM(K85:K87)</f>
        <v>17</v>
      </c>
      <c r="L88" s="164"/>
      <c r="M88" s="197">
        <f>SUM(M85:M87)</f>
        <v>139133.06</v>
      </c>
      <c r="N88" s="169">
        <f>SUM(N85:N87)</f>
        <v>-1133.0600000000013</v>
      </c>
      <c r="O88" s="209">
        <f>SUM(O85:O87)</f>
        <v>-1116.0600000000013</v>
      </c>
      <c r="P88" s="218"/>
      <c r="Q88" s="105"/>
      <c r="R88" s="115">
        <v>55820</v>
      </c>
      <c r="S88" s="116">
        <f>SUM(S85:S86)</f>
        <v>70186</v>
      </c>
      <c r="T88" s="117">
        <f>R88-S88</f>
        <v>-14366</v>
      </c>
      <c r="U88" s="107"/>
      <c r="V88" s="129"/>
      <c r="W88" s="129"/>
      <c r="X88" s="129"/>
      <c r="Y88" s="129"/>
      <c r="AB88" s="130">
        <v>382583</v>
      </c>
      <c r="AC88" s="321">
        <f t="shared" si="10"/>
        <v>138017</v>
      </c>
      <c r="AD88" s="321"/>
      <c r="AE88" s="321">
        <f t="shared" si="11"/>
        <v>244566</v>
      </c>
    </row>
    <row r="89" spans="1:31" s="130" customFormat="1" ht="12.75">
      <c r="A89" s="148"/>
      <c r="B89" s="105"/>
      <c r="C89" s="105"/>
      <c r="D89" s="198"/>
      <c r="E89" s="166"/>
      <c r="F89" s="166"/>
      <c r="G89" s="166"/>
      <c r="H89" s="208"/>
      <c r="I89" s="164"/>
      <c r="J89" s="198"/>
      <c r="K89" s="208"/>
      <c r="L89" s="164"/>
      <c r="M89" s="198"/>
      <c r="N89" s="166"/>
      <c r="O89" s="208"/>
      <c r="P89" s="218"/>
      <c r="Q89" s="105"/>
      <c r="R89" s="119"/>
      <c r="S89" s="120"/>
      <c r="T89" s="121"/>
      <c r="U89" s="107"/>
      <c r="V89" s="129"/>
      <c r="W89" s="129"/>
      <c r="X89" s="129"/>
      <c r="Y89" s="129"/>
      <c r="AC89" s="321">
        <f t="shared" si="10"/>
        <v>0</v>
      </c>
      <c r="AD89" s="321"/>
      <c r="AE89" s="321">
        <f t="shared" si="11"/>
        <v>0</v>
      </c>
    </row>
    <row r="90" spans="1:31" s="130" customFormat="1" ht="12.75">
      <c r="A90" s="148"/>
      <c r="B90" s="118" t="s">
        <v>496</v>
      </c>
      <c r="C90" s="105"/>
      <c r="D90" s="198"/>
      <c r="E90" s="166"/>
      <c r="F90" s="166"/>
      <c r="G90" s="166"/>
      <c r="H90" s="208"/>
      <c r="I90" s="164"/>
      <c r="J90" s="198"/>
      <c r="K90" s="208"/>
      <c r="L90" s="164"/>
      <c r="M90" s="198"/>
      <c r="N90" s="166"/>
      <c r="O90" s="208"/>
      <c r="P90" s="218"/>
      <c r="Q90" s="105"/>
      <c r="R90" s="108"/>
      <c r="S90" s="109"/>
      <c r="T90" s="110"/>
      <c r="U90" s="107"/>
      <c r="V90" s="129"/>
      <c r="W90" s="129"/>
      <c r="X90" s="129"/>
      <c r="Y90" s="129"/>
      <c r="AA90" s="130" t="s">
        <v>496</v>
      </c>
      <c r="AC90" s="321">
        <f t="shared" si="10"/>
        <v>0</v>
      </c>
      <c r="AD90" s="321"/>
      <c r="AE90" s="321">
        <f t="shared" si="11"/>
        <v>0</v>
      </c>
    </row>
    <row r="91" spans="1:31" s="130" customFormat="1" ht="12.75">
      <c r="A91" s="148">
        <v>4000</v>
      </c>
      <c r="B91" s="105" t="s">
        <v>495</v>
      </c>
      <c r="C91" s="105"/>
      <c r="D91" s="200">
        <f>SUMIF('Budget14-15'!M:M,A91,'Budget14-15'!S:S)</f>
        <v>1925</v>
      </c>
      <c r="E91" s="165">
        <f>SUMIF('Workings Prior Month'!O:O,A91,'Workings Prior Month'!C:C)</f>
        <v>1925</v>
      </c>
      <c r="F91" s="165">
        <f>+E91-D91</f>
        <v>0</v>
      </c>
      <c r="G91" s="165">
        <f>+H91-E91</f>
        <v>0</v>
      </c>
      <c r="H91" s="208">
        <f>SUMIF(Workings!O:O,A91,Workings!C:C)</f>
        <v>1925</v>
      </c>
      <c r="I91" s="164"/>
      <c r="J91" s="200">
        <f>SUMIF('Workings Prior Month'!O:O,A91,'Workings Prior Month'!C:C)-SUMIF('Workings Prior Month'!O:O,A91,'Workings Prior Month'!J:J)+SUMIF('Workings Prior Month'!O:O,A91,'Workings Prior Month'!K:K)</f>
        <v>2426.67</v>
      </c>
      <c r="K91" s="208">
        <f>+H91-J91</f>
        <v>-501.6700000000001</v>
      </c>
      <c r="L91" s="164"/>
      <c r="M91" s="200">
        <f>SUMIF(Workings!O:O,A91,Workings!C:C)-SUMIF(Workings!O:O,A91,Workings!J:J)+SUMIF(Workings!O:O,A91,Workings!K:K)</f>
        <v>193.5800000000006</v>
      </c>
      <c r="N91" s="166">
        <f>-K91+O91</f>
        <v>2233.0899999999992</v>
      </c>
      <c r="O91" s="208">
        <f>+H91-M91</f>
        <v>1731.4199999999994</v>
      </c>
      <c r="P91" s="218" t="s">
        <v>757</v>
      </c>
      <c r="Q91" s="105"/>
      <c r="R91" s="108"/>
      <c r="S91" s="109"/>
      <c r="T91" s="110"/>
      <c r="U91" s="107"/>
      <c r="V91" s="129"/>
      <c r="W91" s="129"/>
      <c r="X91" s="129"/>
      <c r="Y91" s="129"/>
      <c r="Z91" s="130">
        <v>4000</v>
      </c>
      <c r="AA91" s="130" t="s">
        <v>495</v>
      </c>
      <c r="AB91" s="130">
        <v>1630</v>
      </c>
      <c r="AC91" s="321">
        <f t="shared" si="10"/>
        <v>1925</v>
      </c>
      <c r="AD91" s="321"/>
      <c r="AE91" s="321">
        <f t="shared" si="11"/>
        <v>-295</v>
      </c>
    </row>
    <row r="92" spans="1:31" s="130" customFormat="1" ht="12.75">
      <c r="A92" s="148">
        <v>9999</v>
      </c>
      <c r="B92" s="105" t="s">
        <v>497</v>
      </c>
      <c r="C92" s="105"/>
      <c r="D92" s="200">
        <f>SUMIF('Budget14-15'!M:M,A92,'Budget14-15'!S:S)</f>
        <v>0</v>
      </c>
      <c r="E92" s="165">
        <f>SUMIF('Workings Prior Month'!O:O,A92,'Workings Prior Month'!C:C)</f>
        <v>0</v>
      </c>
      <c r="F92" s="165">
        <f>+E92-D92</f>
        <v>0</v>
      </c>
      <c r="G92" s="165">
        <f>+H92-E92</f>
        <v>0</v>
      </c>
      <c r="H92" s="208">
        <f>SUMIF(Workings!O:O,A92,Workings!C:C)</f>
        <v>0</v>
      </c>
      <c r="I92" s="164"/>
      <c r="J92" s="200">
        <f>SUMIF('Workings Prior Month'!O:O,A92,'Workings Prior Month'!C:C)-SUMIF('Workings Prior Month'!O:O,A92,'Workings Prior Month'!J:J)+SUMIF('Workings Prior Month'!O:O,A92,'Workings Prior Month'!K:K)</f>
        <v>0</v>
      </c>
      <c r="K92" s="208">
        <f>+H92-J92</f>
        <v>0</v>
      </c>
      <c r="L92" s="164"/>
      <c r="M92" s="200">
        <f>SUMIF(Workings!O:O,A92,Workings!C:C)-SUMIF(Workings!O:O,A92,Workings!J:J)+SUMIF(Workings!O:O,A92,Workings!K:K)</f>
        <v>0</v>
      </c>
      <c r="N92" s="166">
        <f>-K92+O92</f>
        <v>0</v>
      </c>
      <c r="O92" s="208">
        <f>+H92-M92</f>
        <v>0</v>
      </c>
      <c r="P92" s="218"/>
      <c r="Q92" s="105"/>
      <c r="R92" s="108"/>
      <c r="S92" s="109"/>
      <c r="T92" s="110"/>
      <c r="U92" s="107"/>
      <c r="V92" s="129"/>
      <c r="W92" s="129"/>
      <c r="X92" s="129"/>
      <c r="Y92" s="129"/>
      <c r="AA92" s="130" t="s">
        <v>497</v>
      </c>
      <c r="AB92" s="130">
        <v>0</v>
      </c>
      <c r="AC92" s="321">
        <f t="shared" si="10"/>
        <v>0</v>
      </c>
      <c r="AD92" s="321"/>
      <c r="AE92" s="321">
        <f t="shared" si="11"/>
        <v>0</v>
      </c>
    </row>
    <row r="93" spans="1:31" s="130" customFormat="1" ht="12.75">
      <c r="A93" s="148"/>
      <c r="B93" s="105"/>
      <c r="C93" s="105"/>
      <c r="D93" s="200"/>
      <c r="E93" s="166"/>
      <c r="F93" s="166"/>
      <c r="G93" s="166"/>
      <c r="H93" s="208"/>
      <c r="I93" s="164"/>
      <c r="J93" s="198"/>
      <c r="K93" s="208"/>
      <c r="L93" s="164"/>
      <c r="M93" s="198"/>
      <c r="N93" s="166"/>
      <c r="O93" s="208"/>
      <c r="P93" s="218"/>
      <c r="Q93" s="105"/>
      <c r="R93" s="108"/>
      <c r="S93" s="109"/>
      <c r="T93" s="110"/>
      <c r="U93" s="107"/>
      <c r="V93" s="129"/>
      <c r="W93" s="129"/>
      <c r="X93" s="129"/>
      <c r="Y93" s="129"/>
      <c r="AB93" s="130">
        <v>0</v>
      </c>
      <c r="AC93" s="321">
        <f t="shared" si="10"/>
        <v>0</v>
      </c>
      <c r="AD93" s="321"/>
      <c r="AE93" s="321">
        <f t="shared" si="11"/>
        <v>0</v>
      </c>
    </row>
    <row r="94" spans="1:31" s="130" customFormat="1" ht="12.75">
      <c r="A94" s="148"/>
      <c r="B94" s="105"/>
      <c r="C94" s="105"/>
      <c r="D94" s="197">
        <f>SUM(D91:D93)</f>
        <v>1925</v>
      </c>
      <c r="E94" s="169">
        <f>SUM(E91:E93)</f>
        <v>1925</v>
      </c>
      <c r="F94" s="169">
        <f>SUM(F91:F93)</f>
        <v>0</v>
      </c>
      <c r="G94" s="169">
        <f>SUM(G91:G93)</f>
        <v>0</v>
      </c>
      <c r="H94" s="209">
        <f>SUM(H91:H93)</f>
        <v>1925</v>
      </c>
      <c r="I94" s="164"/>
      <c r="J94" s="197">
        <f>SUM(J91:J93)</f>
        <v>2426.67</v>
      </c>
      <c r="K94" s="209">
        <f>SUM(K91:K93)</f>
        <v>-501.6700000000001</v>
      </c>
      <c r="L94" s="164"/>
      <c r="M94" s="197">
        <f>SUM(M91:M93)</f>
        <v>193.5800000000006</v>
      </c>
      <c r="N94" s="169">
        <f>SUM(N91:N93)</f>
        <v>2233.0899999999992</v>
      </c>
      <c r="O94" s="209">
        <f>SUM(O91:O93)</f>
        <v>1731.4199999999994</v>
      </c>
      <c r="P94" s="218"/>
      <c r="Q94" s="105"/>
      <c r="R94" s="108"/>
      <c r="S94" s="109"/>
      <c r="T94" s="110"/>
      <c r="U94" s="107"/>
      <c r="V94" s="129"/>
      <c r="W94" s="129"/>
      <c r="X94" s="129"/>
      <c r="Y94" s="129"/>
      <c r="AB94" s="130">
        <v>1630</v>
      </c>
      <c r="AC94" s="321">
        <f t="shared" si="10"/>
        <v>1925</v>
      </c>
      <c r="AD94" s="321"/>
      <c r="AE94" s="321">
        <f t="shared" si="11"/>
        <v>-295</v>
      </c>
    </row>
    <row r="95" spans="1:31" s="130" customFormat="1" ht="12.75">
      <c r="A95" s="148"/>
      <c r="B95" s="118" t="s">
        <v>498</v>
      </c>
      <c r="C95" s="105"/>
      <c r="D95" s="198"/>
      <c r="E95" s="166"/>
      <c r="F95" s="166"/>
      <c r="G95" s="166"/>
      <c r="H95" s="208"/>
      <c r="I95" s="164"/>
      <c r="J95" s="198"/>
      <c r="K95" s="208"/>
      <c r="L95" s="164"/>
      <c r="M95" s="198"/>
      <c r="N95" s="166"/>
      <c r="O95" s="208"/>
      <c r="P95" s="218"/>
      <c r="Q95" s="105"/>
      <c r="R95" s="108"/>
      <c r="S95" s="109"/>
      <c r="T95" s="110"/>
      <c r="U95" s="107"/>
      <c r="V95" s="129"/>
      <c r="W95" s="129"/>
      <c r="X95" s="129"/>
      <c r="Y95" s="129"/>
      <c r="AA95" s="130" t="s">
        <v>498</v>
      </c>
      <c r="AC95" s="321">
        <f t="shared" si="10"/>
        <v>0</v>
      </c>
      <c r="AD95" s="321"/>
      <c r="AE95" s="321">
        <f t="shared" si="11"/>
        <v>0</v>
      </c>
    </row>
    <row r="96" spans="1:31" s="130" customFormat="1" ht="12.75">
      <c r="A96" s="148"/>
      <c r="B96" s="105"/>
      <c r="C96" s="105"/>
      <c r="D96" s="198"/>
      <c r="E96" s="166"/>
      <c r="F96" s="166"/>
      <c r="G96" s="166"/>
      <c r="H96" s="208"/>
      <c r="I96" s="164"/>
      <c r="J96" s="200"/>
      <c r="K96" s="208"/>
      <c r="L96" s="164"/>
      <c r="M96" s="200"/>
      <c r="N96" s="166"/>
      <c r="O96" s="208"/>
      <c r="P96" s="218"/>
      <c r="Q96" s="105"/>
      <c r="R96" s="108"/>
      <c r="S96" s="109"/>
      <c r="T96" s="110"/>
      <c r="U96" s="107"/>
      <c r="V96" s="129"/>
      <c r="W96" s="129"/>
      <c r="X96" s="129"/>
      <c r="Y96" s="129"/>
      <c r="AC96" s="321">
        <f t="shared" si="10"/>
        <v>0</v>
      </c>
      <c r="AD96" s="321"/>
      <c r="AE96" s="321">
        <f t="shared" si="11"/>
        <v>0</v>
      </c>
    </row>
    <row r="97" spans="1:31" s="130" customFormat="1" ht="12.75">
      <c r="A97" s="148">
        <v>9900</v>
      </c>
      <c r="B97" s="105" t="s">
        <v>502</v>
      </c>
      <c r="C97" s="105"/>
      <c r="D97" s="200">
        <f>SUMIF('Budget14-15'!M:M,A97,'Budget14-15'!S:S)</f>
        <v>54530</v>
      </c>
      <c r="E97" s="165">
        <f>SUMIF('Workings Prior Month'!O:O,A97,'Workings Prior Month'!C:C)</f>
        <v>54530</v>
      </c>
      <c r="F97" s="165">
        <f>+E97-D97</f>
        <v>0</v>
      </c>
      <c r="G97" s="165">
        <f>+H97-E97</f>
        <v>0</v>
      </c>
      <c r="H97" s="208">
        <f>SUMIF(Workings!O:O,A97,Workings!C:C)</f>
        <v>54530</v>
      </c>
      <c r="I97" s="164"/>
      <c r="J97" s="200">
        <f>SUMIF('Workings Prior Month'!O:O,A97,'Workings Prior Month'!C:C)-SUMIF('Workings Prior Month'!O:O,A97,'Workings Prior Month'!J:J)+SUMIF('Workings Prior Month'!O:O,A97,'Workings Prior Month'!K:K)</f>
        <v>54530</v>
      </c>
      <c r="K97" s="208">
        <f>+H97-J97</f>
        <v>0</v>
      </c>
      <c r="L97" s="164"/>
      <c r="M97" s="200">
        <f>SUMIF(Workings!O:O,A97,Workings!C:C)-SUMIF(Workings!O:O,A97,Workings!J:J)+SUMIF(Workings!O:O,A97,Workings!K:K)</f>
        <v>54530</v>
      </c>
      <c r="N97" s="166">
        <f>-K97+O97</f>
        <v>0</v>
      </c>
      <c r="O97" s="208">
        <f>+H97-M97</f>
        <v>0</v>
      </c>
      <c r="P97" s="218"/>
      <c r="Q97" s="105"/>
      <c r="R97" s="108"/>
      <c r="S97" s="109"/>
      <c r="T97" s="110"/>
      <c r="U97" s="107"/>
      <c r="V97" s="129"/>
      <c r="W97" s="129"/>
      <c r="X97" s="129"/>
      <c r="Y97" s="129"/>
      <c r="Z97" s="130">
        <v>9900</v>
      </c>
      <c r="AA97" s="130" t="s">
        <v>502</v>
      </c>
      <c r="AB97" s="130">
        <v>0</v>
      </c>
      <c r="AC97" s="321">
        <f t="shared" si="10"/>
        <v>54530</v>
      </c>
      <c r="AD97" s="321"/>
      <c r="AE97" s="321">
        <f t="shared" si="11"/>
        <v>-54530</v>
      </c>
    </row>
    <row r="98" spans="1:31" s="130" customFormat="1" ht="12.75">
      <c r="A98" s="148">
        <v>9500</v>
      </c>
      <c r="B98" s="105" t="s">
        <v>507</v>
      </c>
      <c r="C98" s="105"/>
      <c r="D98" s="200">
        <f>SUMIF('Budget14-15'!M:M,A98,'Budget14-15'!S:S)</f>
        <v>0</v>
      </c>
      <c r="E98" s="165">
        <f>SUMIF('Workings Prior Month'!O:O,A98,'Workings Prior Month'!C:C)</f>
        <v>0</v>
      </c>
      <c r="F98" s="165">
        <f>+E98-D98</f>
        <v>0</v>
      </c>
      <c r="G98" s="165">
        <f>+H98-E98</f>
        <v>0</v>
      </c>
      <c r="H98" s="208">
        <f>SUMIF(Workings!O:O,A98,Workings!C:C)</f>
        <v>0</v>
      </c>
      <c r="I98" s="164"/>
      <c r="J98" s="200">
        <f>SUMIF('Workings Prior Month'!O:O,A98,'Workings Prior Month'!C:C)-SUMIF('Workings Prior Month'!O:O,A98,'Workings Prior Month'!J:J)+SUMIF('Workings Prior Month'!O:O,A98,'Workings Prior Month'!K:K)</f>
        <v>0</v>
      </c>
      <c r="K98" s="208">
        <f>+H98-J98</f>
        <v>0</v>
      </c>
      <c r="L98" s="164"/>
      <c r="M98" s="200">
        <f>SUMIF(Workings!O:O,A98,Workings!C:C)-SUMIF(Workings!O:O,A98,Workings!J:J)+SUMIF(Workings!O:O,A98,Workings!K:K)</f>
        <v>0</v>
      </c>
      <c r="N98" s="166">
        <f>-K98+O98</f>
        <v>0</v>
      </c>
      <c r="O98" s="208">
        <f>+H98-M98</f>
        <v>0</v>
      </c>
      <c r="P98" s="218"/>
      <c r="Q98" s="105"/>
      <c r="R98" s="108"/>
      <c r="S98" s="109"/>
      <c r="T98" s="110"/>
      <c r="U98" s="107"/>
      <c r="V98" s="129"/>
      <c r="W98" s="129"/>
      <c r="X98" s="129"/>
      <c r="Y98" s="129"/>
      <c r="Z98" s="130">
        <v>9500</v>
      </c>
      <c r="AA98" s="130" t="s">
        <v>507</v>
      </c>
      <c r="AB98" s="130">
        <v>0</v>
      </c>
      <c r="AC98" s="321">
        <f t="shared" si="10"/>
        <v>0</v>
      </c>
      <c r="AD98" s="321"/>
      <c r="AE98" s="321">
        <f t="shared" si="11"/>
        <v>0</v>
      </c>
    </row>
    <row r="99" spans="1:31" s="130" customFormat="1" ht="12.75">
      <c r="A99" s="148"/>
      <c r="B99" s="105"/>
      <c r="C99" s="105"/>
      <c r="D99" s="197">
        <f>SUM(D96:D98)</f>
        <v>54530</v>
      </c>
      <c r="E99" s="169">
        <f>SUM(E96:E98)</f>
        <v>54530</v>
      </c>
      <c r="F99" s="169">
        <f>SUM(F96:F98)</f>
        <v>0</v>
      </c>
      <c r="G99" s="169">
        <f>SUM(G96:G98)</f>
        <v>0</v>
      </c>
      <c r="H99" s="209">
        <f>SUM(H96:H98)</f>
        <v>54530</v>
      </c>
      <c r="I99" s="164"/>
      <c r="J99" s="197">
        <f>SUM(J96:J98)</f>
        <v>54530</v>
      </c>
      <c r="K99" s="209">
        <f>SUM(K96:K98)</f>
        <v>0</v>
      </c>
      <c r="L99" s="164"/>
      <c r="M99" s="197">
        <f>SUM(M96:M98)</f>
        <v>54530</v>
      </c>
      <c r="N99" s="169">
        <f>SUM(N96:N98)</f>
        <v>0</v>
      </c>
      <c r="O99" s="209">
        <f>SUM(O96:O98)</f>
        <v>0</v>
      </c>
      <c r="P99" s="218"/>
      <c r="Q99" s="105"/>
      <c r="R99" s="108"/>
      <c r="S99" s="109"/>
      <c r="T99" s="110"/>
      <c r="U99" s="107"/>
      <c r="V99" s="129"/>
      <c r="W99" s="129"/>
      <c r="X99" s="129"/>
      <c r="Y99" s="129"/>
      <c r="AB99" s="130">
        <v>0</v>
      </c>
      <c r="AC99" s="321">
        <f t="shared" si="10"/>
        <v>54530</v>
      </c>
      <c r="AD99" s="321"/>
      <c r="AE99" s="321">
        <f t="shared" si="11"/>
        <v>-54530</v>
      </c>
    </row>
    <row r="100" spans="1:31" s="130" customFormat="1" ht="12.75">
      <c r="A100" s="148"/>
      <c r="B100" s="105"/>
      <c r="C100" s="105"/>
      <c r="D100" s="198"/>
      <c r="E100" s="166"/>
      <c r="F100" s="166"/>
      <c r="G100" s="166"/>
      <c r="H100" s="208"/>
      <c r="I100" s="164"/>
      <c r="J100" s="198"/>
      <c r="K100" s="208"/>
      <c r="L100" s="164"/>
      <c r="M100" s="198"/>
      <c r="N100" s="166"/>
      <c r="O100" s="208"/>
      <c r="P100" s="218"/>
      <c r="Q100" s="105"/>
      <c r="R100" s="108"/>
      <c r="S100" s="109"/>
      <c r="T100" s="110"/>
      <c r="U100" s="107"/>
      <c r="V100" s="129"/>
      <c r="W100" s="129"/>
      <c r="X100" s="129"/>
      <c r="Y100" s="129"/>
      <c r="AC100" s="321">
        <f t="shared" si="10"/>
        <v>0</v>
      </c>
      <c r="AD100" s="321"/>
      <c r="AE100" s="321">
        <f t="shared" si="11"/>
        <v>0</v>
      </c>
    </row>
    <row r="101" spans="1:31" s="130" customFormat="1" ht="18.75">
      <c r="A101" s="148"/>
      <c r="B101" s="146" t="s">
        <v>511</v>
      </c>
      <c r="C101" s="105"/>
      <c r="D101" s="202">
        <f>SUM(D15:D99)/2</f>
        <v>6846526</v>
      </c>
      <c r="E101" s="173">
        <f>SUM(E15:E99)/2</f>
        <v>6850126</v>
      </c>
      <c r="F101" s="173">
        <f>SUM(F15:F99)/2</f>
        <v>3600</v>
      </c>
      <c r="G101" s="173">
        <f>SUM(G15:G99)/2</f>
        <v>17000</v>
      </c>
      <c r="H101" s="215">
        <f>SUM(H15:H99)/2</f>
        <v>6867126</v>
      </c>
      <c r="I101" s="167"/>
      <c r="J101" s="202">
        <f>SUM(J15:J99)/2</f>
        <v>6841746.240000001</v>
      </c>
      <c r="K101" s="215">
        <f>SUM(K15:K99)/2</f>
        <v>25379.76</v>
      </c>
      <c r="L101" s="164"/>
      <c r="M101" s="202">
        <f>SUM(M15:M99)/2</f>
        <v>6858889.96</v>
      </c>
      <c r="N101" s="173">
        <f>SUM(N15:N99)/2</f>
        <v>-17143.719999999725</v>
      </c>
      <c r="O101" s="215">
        <f>SUM(O15:O99)/2</f>
        <v>8236.040000000285</v>
      </c>
      <c r="P101" s="218"/>
      <c r="Q101" s="105"/>
      <c r="R101" s="108"/>
      <c r="S101" s="109"/>
      <c r="T101" s="110"/>
      <c r="U101" s="107"/>
      <c r="V101" s="129"/>
      <c r="W101" s="129"/>
      <c r="X101" s="129"/>
      <c r="Y101" s="129"/>
      <c r="AA101" s="130" t="s">
        <v>511</v>
      </c>
      <c r="AB101" s="130">
        <v>7928157</v>
      </c>
      <c r="AC101" s="321">
        <f t="shared" si="10"/>
        <v>6846526</v>
      </c>
      <c r="AD101" s="321"/>
      <c r="AE101" s="321">
        <f t="shared" si="11"/>
        <v>1081631</v>
      </c>
    </row>
    <row r="102" spans="1:31" s="130" customFormat="1" ht="18.75">
      <c r="A102" s="148"/>
      <c r="B102" s="146"/>
      <c r="C102" s="105"/>
      <c r="D102" s="203"/>
      <c r="E102" s="171"/>
      <c r="F102" s="171"/>
      <c r="G102" s="171"/>
      <c r="H102" s="210"/>
      <c r="I102" s="167"/>
      <c r="J102" s="203"/>
      <c r="K102" s="210"/>
      <c r="L102" s="164"/>
      <c r="M102" s="203"/>
      <c r="N102" s="171"/>
      <c r="O102" s="210"/>
      <c r="P102" s="218"/>
      <c r="Q102" s="105"/>
      <c r="R102" s="108"/>
      <c r="S102" s="109"/>
      <c r="T102" s="110"/>
      <c r="U102" s="107"/>
      <c r="V102" s="129"/>
      <c r="W102" s="129"/>
      <c r="X102" s="129"/>
      <c r="Y102" s="129"/>
      <c r="AC102" s="321">
        <f t="shared" si="10"/>
        <v>0</v>
      </c>
      <c r="AD102" s="321"/>
      <c r="AE102" s="321">
        <f t="shared" si="11"/>
        <v>0</v>
      </c>
    </row>
    <row r="103" spans="1:31" s="130" customFormat="1" ht="18.75">
      <c r="A103" s="148"/>
      <c r="B103" s="146" t="s">
        <v>512</v>
      </c>
      <c r="C103" s="105"/>
      <c r="D103" s="204">
        <f>+D12-D101</f>
        <v>0</v>
      </c>
      <c r="E103" s="187">
        <f>+E12-E101</f>
        <v>0</v>
      </c>
      <c r="F103" s="187">
        <f>+F12-F101</f>
        <v>0</v>
      </c>
      <c r="G103" s="187">
        <f>+G12-G101</f>
        <v>0</v>
      </c>
      <c r="H103" s="216">
        <f>+H12-H101</f>
        <v>0</v>
      </c>
      <c r="I103" s="167"/>
      <c r="J103" s="204">
        <f>+J12-J101</f>
        <v>8462.759999998845</v>
      </c>
      <c r="K103" s="216">
        <f>+K12+K101</f>
        <v>8462.759999999998</v>
      </c>
      <c r="L103" s="164"/>
      <c r="M103" s="204">
        <f>+M12-M101</f>
        <v>8979.040000000037</v>
      </c>
      <c r="N103" s="187">
        <f>+N12+N101</f>
        <v>516.2800000002753</v>
      </c>
      <c r="O103" s="216">
        <f>+O12+O101</f>
        <v>8979.040000000285</v>
      </c>
      <c r="P103" s="218"/>
      <c r="Q103" s="105"/>
      <c r="R103" s="108"/>
      <c r="S103" s="109"/>
      <c r="T103" s="110"/>
      <c r="U103" s="107"/>
      <c r="V103" s="129"/>
      <c r="W103" s="129"/>
      <c r="X103" s="129"/>
      <c r="Y103" s="129"/>
      <c r="AA103" s="130" t="s">
        <v>512</v>
      </c>
      <c r="AB103" s="130">
        <v>0</v>
      </c>
      <c r="AC103" s="321">
        <f t="shared" si="10"/>
        <v>0</v>
      </c>
      <c r="AD103" s="321"/>
      <c r="AE103" s="321">
        <f t="shared" si="11"/>
        <v>0</v>
      </c>
    </row>
    <row r="104" spans="1:31" s="130" customFormat="1" ht="18.75">
      <c r="A104" s="148"/>
      <c r="B104" s="146"/>
      <c r="C104" s="105"/>
      <c r="D104" s="203"/>
      <c r="E104" s="171"/>
      <c r="F104" s="171"/>
      <c r="G104" s="171"/>
      <c r="H104" s="210"/>
      <c r="I104" s="167"/>
      <c r="J104" s="203"/>
      <c r="K104" s="210"/>
      <c r="L104" s="164"/>
      <c r="M104" s="203"/>
      <c r="N104" s="171"/>
      <c r="O104" s="210"/>
      <c r="P104" s="218"/>
      <c r="Q104" s="105"/>
      <c r="R104" s="108"/>
      <c r="S104" s="109"/>
      <c r="T104" s="110"/>
      <c r="U104" s="107"/>
      <c r="V104" s="129"/>
      <c r="W104" s="129"/>
      <c r="X104" s="129"/>
      <c r="Y104" s="129"/>
      <c r="AC104" s="321">
        <f t="shared" si="10"/>
        <v>0</v>
      </c>
      <c r="AD104" s="321"/>
      <c r="AE104" s="321">
        <f t="shared" si="11"/>
        <v>0</v>
      </c>
    </row>
    <row r="105" spans="1:31" s="130" customFormat="1" ht="18.75">
      <c r="A105" s="148"/>
      <c r="B105" s="190" t="s">
        <v>513</v>
      </c>
      <c r="C105" s="105"/>
      <c r="D105" s="203"/>
      <c r="E105" s="171"/>
      <c r="F105" s="171"/>
      <c r="G105" s="171"/>
      <c r="H105" s="210"/>
      <c r="I105" s="167"/>
      <c r="J105" s="203"/>
      <c r="K105" s="210"/>
      <c r="L105" s="164"/>
      <c r="M105" s="203"/>
      <c r="N105" s="171"/>
      <c r="O105" s="210"/>
      <c r="P105" s="218"/>
      <c r="Q105" s="105"/>
      <c r="R105" s="108"/>
      <c r="S105" s="109"/>
      <c r="T105" s="110"/>
      <c r="U105" s="107"/>
      <c r="V105" s="129"/>
      <c r="W105" s="129"/>
      <c r="X105" s="129"/>
      <c r="Y105" s="129"/>
      <c r="AA105" s="130" t="s">
        <v>513</v>
      </c>
      <c r="AC105" s="321">
        <f t="shared" si="10"/>
        <v>0</v>
      </c>
      <c r="AD105" s="321"/>
      <c r="AE105" s="321">
        <f t="shared" si="11"/>
        <v>0</v>
      </c>
    </row>
    <row r="106" spans="1:31" s="130" customFormat="1" ht="5.25" customHeight="1">
      <c r="A106" s="148"/>
      <c r="B106" s="146"/>
      <c r="C106" s="105"/>
      <c r="D106" s="203"/>
      <c r="E106" s="171"/>
      <c r="F106" s="171"/>
      <c r="G106" s="171"/>
      <c r="H106" s="210"/>
      <c r="I106" s="167"/>
      <c r="J106" s="203"/>
      <c r="K106" s="210"/>
      <c r="L106" s="164"/>
      <c r="M106" s="203"/>
      <c r="N106" s="171"/>
      <c r="O106" s="210"/>
      <c r="P106" s="218"/>
      <c r="Q106" s="105"/>
      <c r="R106" s="108"/>
      <c r="S106" s="109"/>
      <c r="T106" s="110"/>
      <c r="U106" s="107"/>
      <c r="V106" s="129"/>
      <c r="W106" s="129"/>
      <c r="X106" s="129"/>
      <c r="Y106" s="129"/>
      <c r="AC106" s="321">
        <f t="shared" si="10"/>
        <v>0</v>
      </c>
      <c r="AD106" s="321"/>
      <c r="AE106" s="321">
        <f t="shared" si="11"/>
        <v>0</v>
      </c>
    </row>
    <row r="107" spans="1:31" s="130" customFormat="1" ht="12.75">
      <c r="A107" s="147">
        <v>6000</v>
      </c>
      <c r="B107" s="93" t="s">
        <v>493</v>
      </c>
      <c r="C107" s="94"/>
      <c r="D107" s="198"/>
      <c r="E107" s="166"/>
      <c r="F107" s="166"/>
      <c r="G107" s="166"/>
      <c r="H107" s="208"/>
      <c r="I107" s="164"/>
      <c r="J107" s="198"/>
      <c r="K107" s="208"/>
      <c r="L107" s="164"/>
      <c r="M107" s="198"/>
      <c r="N107" s="166"/>
      <c r="O107" s="208"/>
      <c r="P107" s="218"/>
      <c r="Q107" s="105"/>
      <c r="R107" s="108"/>
      <c r="S107" s="109"/>
      <c r="T107" s="110"/>
      <c r="U107" s="107"/>
      <c r="V107" s="129"/>
      <c r="W107" s="129"/>
      <c r="X107" s="129"/>
      <c r="Y107" s="129"/>
      <c r="Z107" s="130">
        <v>6000</v>
      </c>
      <c r="AA107" s="130" t="s">
        <v>493</v>
      </c>
      <c r="AC107" s="321">
        <f t="shared" si="10"/>
        <v>0</v>
      </c>
      <c r="AD107" s="321"/>
      <c r="AE107" s="321">
        <f t="shared" si="11"/>
        <v>0</v>
      </c>
    </row>
    <row r="108" spans="1:31" s="130" customFormat="1" ht="12.75">
      <c r="A108" s="147">
        <v>6100</v>
      </c>
      <c r="B108" s="94" t="s">
        <v>501</v>
      </c>
      <c r="C108" s="94"/>
      <c r="D108" s="200">
        <f>SUMIF('Budget14-15'!M:M,A108,'Budget14-15'!S:S)*-1</f>
        <v>0</v>
      </c>
      <c r="E108" s="165">
        <f>SUMIF('Workings Prior Month'!O:O,A108,'Workings Prior Month'!C:C)*-1</f>
        <v>0</v>
      </c>
      <c r="F108" s="165">
        <f>+E108-D108</f>
        <v>0</v>
      </c>
      <c r="G108" s="165">
        <f>+H108-E108</f>
        <v>0</v>
      </c>
      <c r="H108" s="208">
        <f>SUMIF(Workings!O:O,A108,Workings!C:C)*-1</f>
        <v>0</v>
      </c>
      <c r="I108" s="164"/>
      <c r="J108" s="200">
        <f>+(+SUMIF('Workings Prior Month'!O:O,A108,'Workings Prior Month'!C:C)-SUMIF('Workings Prior Month'!O:O,A108,'Workings Prior Month'!J:J)+SUMIF('Workings Prior Month'!O:O,A108,'Workings Prior Month'!K:K))*-1</f>
        <v>0</v>
      </c>
      <c r="K108" s="208">
        <f>-H108+J108</f>
        <v>0</v>
      </c>
      <c r="L108" s="164"/>
      <c r="M108" s="200">
        <f>+(+SUMIF(Workings!O:O,A108,Workings!C:C)-SUMIF(Workings!O:O,A108,Workings!J:J)+SUMIF(Workings!O:O,A108,Workings!K:K))*-1</f>
        <v>0</v>
      </c>
      <c r="N108" s="166">
        <f>+K108-O108</f>
        <v>0</v>
      </c>
      <c r="O108" s="208">
        <f>-H108+M108</f>
        <v>0</v>
      </c>
      <c r="P108" s="218"/>
      <c r="Q108" s="105"/>
      <c r="R108" s="108"/>
      <c r="S108" s="109"/>
      <c r="T108" s="110"/>
      <c r="U108" s="107"/>
      <c r="V108" s="129"/>
      <c r="W108" s="129"/>
      <c r="X108" s="129"/>
      <c r="Y108" s="129"/>
      <c r="Z108" s="130">
        <v>6100</v>
      </c>
      <c r="AA108" s="130" t="s">
        <v>501</v>
      </c>
      <c r="AB108" s="130">
        <v>0</v>
      </c>
      <c r="AC108" s="321">
        <f t="shared" si="10"/>
        <v>0</v>
      </c>
      <c r="AD108" s="321"/>
      <c r="AE108" s="321">
        <f t="shared" si="11"/>
        <v>0</v>
      </c>
    </row>
    <row r="109" spans="1:31" s="130" customFormat="1" ht="12.75">
      <c r="A109" s="147">
        <v>6200</v>
      </c>
      <c r="B109" s="94" t="s">
        <v>375</v>
      </c>
      <c r="C109" s="94"/>
      <c r="D109" s="200">
        <f>SUMIF('Budget14-15'!M:M,A109,'Budget14-15'!S:S)*-1</f>
        <v>789570</v>
      </c>
      <c r="E109" s="165">
        <f>SUMIF('Workings Prior Month'!O:O,A109,'Workings Prior Month'!C:C)*-1</f>
        <v>789570</v>
      </c>
      <c r="F109" s="165">
        <f>+E109-D109</f>
        <v>0</v>
      </c>
      <c r="G109" s="165">
        <f>+H109-E109</f>
        <v>0</v>
      </c>
      <c r="H109" s="208">
        <f>SUMIF(Workings!O:O,A109,Workings!C:C)*-1</f>
        <v>789570</v>
      </c>
      <c r="I109" s="164"/>
      <c r="J109" s="200">
        <f>+(+SUMIF('Workings Prior Month'!O:O,A109,'Workings Prior Month'!C:C)-SUMIF('Workings Prior Month'!O:O,A109,'Workings Prior Month'!J:J)+SUMIF('Workings Prior Month'!O:O,A109,'Workings Prior Month'!K:K))*-1</f>
        <v>789570</v>
      </c>
      <c r="K109" s="208">
        <f>-H109+J109</f>
        <v>0</v>
      </c>
      <c r="L109" s="164"/>
      <c r="M109" s="200">
        <f>+(+SUMIF(Workings!O:O,A109,Workings!C:C)-SUMIF(Workings!O:O,A109,Workings!J:J)+SUMIF(Workings!O:O,A109,Workings!K:K))*-1</f>
        <v>789570</v>
      </c>
      <c r="N109" s="166">
        <f>-K109+O109</f>
        <v>0</v>
      </c>
      <c r="O109" s="208">
        <f>-H109+M109</f>
        <v>0</v>
      </c>
      <c r="P109" s="218"/>
      <c r="Q109" s="105"/>
      <c r="R109" s="108"/>
      <c r="S109" s="109"/>
      <c r="T109" s="110"/>
      <c r="U109" s="107"/>
      <c r="V109" s="129"/>
      <c r="W109" s="129"/>
      <c r="X109" s="129"/>
      <c r="Y109" s="129"/>
      <c r="Z109" s="130">
        <v>6200</v>
      </c>
      <c r="AA109" s="130" t="s">
        <v>375</v>
      </c>
      <c r="AB109" s="130">
        <v>0</v>
      </c>
      <c r="AC109" s="321">
        <f t="shared" si="10"/>
        <v>789570</v>
      </c>
      <c r="AD109" s="321"/>
      <c r="AE109" s="321">
        <f t="shared" si="11"/>
        <v>-789570</v>
      </c>
    </row>
    <row r="110" spans="1:31" s="130" customFormat="1" ht="12.75">
      <c r="A110" s="147"/>
      <c r="B110" s="94"/>
      <c r="C110" s="94"/>
      <c r="D110" s="197">
        <f>SUM(D108:D109)</f>
        <v>789570</v>
      </c>
      <c r="E110" s="169">
        <f>SUM(E108:E109)</f>
        <v>789570</v>
      </c>
      <c r="F110" s="169">
        <f>SUM(F108:F109)</f>
        <v>0</v>
      </c>
      <c r="G110" s="169">
        <f>SUM(G108:G109)</f>
        <v>0</v>
      </c>
      <c r="H110" s="209">
        <f>SUM(H108:H109)</f>
        <v>789570</v>
      </c>
      <c r="I110" s="164"/>
      <c r="J110" s="197">
        <f>SUM(J108:J109)</f>
        <v>789570</v>
      </c>
      <c r="K110" s="209">
        <f>SUM(K108:K109)</f>
        <v>0</v>
      </c>
      <c r="L110" s="164"/>
      <c r="M110" s="197">
        <f>SUM(M108:M109)</f>
        <v>789570</v>
      </c>
      <c r="N110" s="169">
        <f>SUM(N108:N109)</f>
        <v>0</v>
      </c>
      <c r="O110" s="209">
        <f>SUM(O108:O109)</f>
        <v>0</v>
      </c>
      <c r="P110" s="218"/>
      <c r="Q110" s="105"/>
      <c r="R110" s="108"/>
      <c r="S110" s="109"/>
      <c r="T110" s="110"/>
      <c r="U110" s="107"/>
      <c r="V110" s="129"/>
      <c r="W110" s="129"/>
      <c r="X110" s="129"/>
      <c r="Y110" s="129"/>
      <c r="AB110" s="130">
        <v>0</v>
      </c>
      <c r="AC110" s="321">
        <f t="shared" si="10"/>
        <v>789570</v>
      </c>
      <c r="AD110" s="321"/>
      <c r="AE110" s="321">
        <f t="shared" si="11"/>
        <v>-789570</v>
      </c>
    </row>
    <row r="111" spans="1:31" s="130" customFormat="1" ht="9.75" customHeight="1">
      <c r="A111" s="148"/>
      <c r="B111" s="146"/>
      <c r="C111" s="105"/>
      <c r="D111" s="203"/>
      <c r="E111" s="171"/>
      <c r="F111" s="171"/>
      <c r="G111" s="171"/>
      <c r="H111" s="210"/>
      <c r="I111" s="167"/>
      <c r="J111" s="203"/>
      <c r="K111" s="210"/>
      <c r="L111" s="164"/>
      <c r="M111" s="203"/>
      <c r="N111" s="171"/>
      <c r="O111" s="210"/>
      <c r="P111" s="218"/>
      <c r="Q111" s="105"/>
      <c r="R111" s="108"/>
      <c r="S111" s="109"/>
      <c r="T111" s="110"/>
      <c r="U111" s="107"/>
      <c r="V111" s="129"/>
      <c r="W111" s="129"/>
      <c r="X111" s="129"/>
      <c r="Y111" s="129"/>
      <c r="AC111" s="321">
        <f t="shared" si="10"/>
        <v>0</v>
      </c>
      <c r="AD111" s="321"/>
      <c r="AE111" s="321">
        <f t="shared" si="11"/>
        <v>0</v>
      </c>
    </row>
    <row r="112" spans="1:31" s="130" customFormat="1" ht="12.75">
      <c r="A112" s="147"/>
      <c r="B112" s="93" t="s">
        <v>514</v>
      </c>
      <c r="C112" s="105"/>
      <c r="D112" s="203"/>
      <c r="E112" s="171"/>
      <c r="F112" s="171"/>
      <c r="G112" s="171"/>
      <c r="H112" s="210"/>
      <c r="I112" s="167"/>
      <c r="J112" s="203"/>
      <c r="K112" s="210"/>
      <c r="L112" s="164"/>
      <c r="M112" s="203"/>
      <c r="N112" s="171"/>
      <c r="O112" s="210"/>
      <c r="P112" s="218"/>
      <c r="Q112" s="105"/>
      <c r="R112" s="108"/>
      <c r="S112" s="109"/>
      <c r="T112" s="110"/>
      <c r="U112" s="107"/>
      <c r="V112" s="129"/>
      <c r="W112" s="129"/>
      <c r="X112" s="129"/>
      <c r="Y112" s="129"/>
      <c r="AA112" s="130" t="s">
        <v>514</v>
      </c>
      <c r="AC112" s="321">
        <f t="shared" si="10"/>
        <v>0</v>
      </c>
      <c r="AD112" s="321"/>
      <c r="AE112" s="321">
        <f t="shared" si="11"/>
        <v>0</v>
      </c>
    </row>
    <row r="113" spans="1:31" s="130" customFormat="1" ht="12.75">
      <c r="A113" s="147">
        <v>9100</v>
      </c>
      <c r="B113" s="94" t="s">
        <v>517</v>
      </c>
      <c r="C113" s="105"/>
      <c r="D113" s="200">
        <f>SUMIF('Budget14-15'!M:M,A113,'Budget14-15'!S:S)</f>
        <v>789570</v>
      </c>
      <c r="E113" s="165">
        <f>SUMIF('Workings Prior Month'!O:O,A113,'Workings Prior Month'!C:C)</f>
        <v>789570</v>
      </c>
      <c r="F113" s="165">
        <f>+E113-D113</f>
        <v>0</v>
      </c>
      <c r="G113" s="165">
        <f>+H113-E113</f>
        <v>0</v>
      </c>
      <c r="H113" s="208">
        <f>SUMIF(Workings!O:O,A113,Workings!C:C)</f>
        <v>789570</v>
      </c>
      <c r="I113" s="164"/>
      <c r="J113" s="200">
        <f>SUMIF('Workings Prior Month'!O:O,A113,'Workings Prior Month'!C:C)-SUMIF('Workings Prior Month'!O:O,A113,'Workings Prior Month'!J:J)+SUMIF('Workings Prior Month'!O:O,A113,'Workings Prior Month'!K:K)</f>
        <v>789570</v>
      </c>
      <c r="K113" s="208">
        <f>+H113-J113</f>
        <v>0</v>
      </c>
      <c r="L113" s="164"/>
      <c r="M113" s="200">
        <f>SUMIF(Workings!O:O,A113,Workings!C:C)-SUMIF(Workings!O:O,A113,Workings!J:J)+SUMIF(Workings!O:O,A113,Workings!K:K)</f>
        <v>789570</v>
      </c>
      <c r="N113" s="166">
        <f>-K113+O113</f>
        <v>0</v>
      </c>
      <c r="O113" s="208">
        <f>+H113-M113</f>
        <v>0</v>
      </c>
      <c r="P113" s="218"/>
      <c r="Q113" s="105"/>
      <c r="R113" s="108"/>
      <c r="S113" s="109"/>
      <c r="T113" s="110"/>
      <c r="U113" s="107"/>
      <c r="V113" s="129"/>
      <c r="W113" s="129"/>
      <c r="X113" s="129"/>
      <c r="Y113" s="129"/>
      <c r="Z113" s="130">
        <v>9100</v>
      </c>
      <c r="AA113" s="130" t="s">
        <v>517</v>
      </c>
      <c r="AB113" s="130">
        <v>0</v>
      </c>
      <c r="AC113" s="321">
        <f t="shared" si="10"/>
        <v>789570</v>
      </c>
      <c r="AD113" s="321"/>
      <c r="AE113" s="321">
        <f t="shared" si="11"/>
        <v>-789570</v>
      </c>
    </row>
    <row r="114" spans="1:31" s="130" customFormat="1" ht="12.75">
      <c r="A114" s="147"/>
      <c r="B114" s="94"/>
      <c r="C114" s="105"/>
      <c r="D114" s="200"/>
      <c r="E114" s="165"/>
      <c r="F114" s="165"/>
      <c r="G114" s="165"/>
      <c r="H114" s="210"/>
      <c r="I114" s="167"/>
      <c r="J114" s="203"/>
      <c r="K114" s="210"/>
      <c r="L114" s="164"/>
      <c r="M114" s="203"/>
      <c r="N114" s="171"/>
      <c r="O114" s="210"/>
      <c r="P114" s="218"/>
      <c r="Q114" s="105"/>
      <c r="R114" s="108"/>
      <c r="S114" s="109"/>
      <c r="T114" s="110"/>
      <c r="U114" s="107"/>
      <c r="V114" s="129"/>
      <c r="W114" s="129"/>
      <c r="X114" s="129"/>
      <c r="Y114" s="129"/>
      <c r="AA114" s="130" t="s">
        <v>518</v>
      </c>
      <c r="AB114" s="130">
        <v>0</v>
      </c>
      <c r="AC114" s="321">
        <f t="shared" si="10"/>
        <v>0</v>
      </c>
      <c r="AD114" s="321"/>
      <c r="AE114" s="321">
        <f t="shared" si="11"/>
        <v>0</v>
      </c>
    </row>
    <row r="115" spans="1:31" s="130" customFormat="1" ht="11.25" customHeight="1">
      <c r="A115" s="148"/>
      <c r="B115" s="146"/>
      <c r="C115" s="105"/>
      <c r="D115" s="197">
        <f>SUM(D113:D114)</f>
        <v>789570</v>
      </c>
      <c r="E115" s="169">
        <f>SUM(E113:E114)</f>
        <v>789570</v>
      </c>
      <c r="F115" s="169">
        <f>SUM(F113:F114)</f>
        <v>0</v>
      </c>
      <c r="G115" s="169">
        <f>SUM(G113:G114)</f>
        <v>0</v>
      </c>
      <c r="H115" s="209">
        <f>SUM(H113:H114)</f>
        <v>789570</v>
      </c>
      <c r="I115" s="164"/>
      <c r="J115" s="197">
        <f>SUM(J113:J114)</f>
        <v>789570</v>
      </c>
      <c r="K115" s="209">
        <f>SUM(K113:K114)</f>
        <v>0</v>
      </c>
      <c r="L115" s="164"/>
      <c r="M115" s="197">
        <f>SUM(M113:M114)</f>
        <v>789570</v>
      </c>
      <c r="N115" s="169">
        <f>SUM(N113:N114)</f>
        <v>0</v>
      </c>
      <c r="O115" s="209">
        <f>SUM(O113:O114)</f>
        <v>0</v>
      </c>
      <c r="P115" s="218"/>
      <c r="Q115" s="105"/>
      <c r="R115" s="108"/>
      <c r="S115" s="109"/>
      <c r="T115" s="110"/>
      <c r="U115" s="107"/>
      <c r="V115" s="129"/>
      <c r="W115" s="129"/>
      <c r="X115" s="129"/>
      <c r="Y115" s="129"/>
      <c r="AB115" s="130">
        <v>0</v>
      </c>
      <c r="AC115" s="321">
        <f t="shared" si="10"/>
        <v>789570</v>
      </c>
      <c r="AD115" s="321"/>
      <c r="AE115" s="321">
        <f t="shared" si="11"/>
        <v>-789570</v>
      </c>
    </row>
    <row r="116" spans="1:31" s="130" customFormat="1" ht="18.75">
      <c r="A116" s="148"/>
      <c r="B116" s="146"/>
      <c r="C116" s="105"/>
      <c r="D116" s="203"/>
      <c r="E116" s="171"/>
      <c r="F116" s="171"/>
      <c r="G116" s="171"/>
      <c r="H116" s="210"/>
      <c r="I116" s="167"/>
      <c r="J116" s="203"/>
      <c r="K116" s="210"/>
      <c r="L116" s="164"/>
      <c r="M116" s="203"/>
      <c r="N116" s="171"/>
      <c r="O116" s="210"/>
      <c r="P116" s="218"/>
      <c r="Q116" s="105"/>
      <c r="R116" s="108"/>
      <c r="S116" s="109"/>
      <c r="T116" s="110"/>
      <c r="U116" s="107"/>
      <c r="V116" s="129"/>
      <c r="W116" s="129"/>
      <c r="X116" s="129"/>
      <c r="Y116" s="129"/>
      <c r="AC116" s="321">
        <f t="shared" si="10"/>
        <v>0</v>
      </c>
      <c r="AD116" s="321"/>
      <c r="AE116" s="321">
        <f t="shared" si="11"/>
        <v>0</v>
      </c>
    </row>
    <row r="117" spans="1:31" s="130" customFormat="1" ht="18.75">
      <c r="A117" s="148"/>
      <c r="B117" s="146" t="s">
        <v>515</v>
      </c>
      <c r="C117" s="105"/>
      <c r="D117" s="204">
        <f>+D109-D115</f>
        <v>0</v>
      </c>
      <c r="E117" s="187">
        <f>+E109-E115</f>
        <v>0</v>
      </c>
      <c r="F117" s="187">
        <f>+F109-F115</f>
        <v>0</v>
      </c>
      <c r="G117" s="187">
        <f>+G109-G115</f>
        <v>0</v>
      </c>
      <c r="H117" s="216">
        <f>+H109-H115</f>
        <v>0</v>
      </c>
      <c r="I117" s="167"/>
      <c r="J117" s="204">
        <f>+J109-J115</f>
        <v>0</v>
      </c>
      <c r="K117" s="216">
        <f>+K109+K115</f>
        <v>0</v>
      </c>
      <c r="L117" s="164"/>
      <c r="M117" s="204">
        <f>+M109-M115</f>
        <v>0</v>
      </c>
      <c r="N117" s="187">
        <f>+N109+N115</f>
        <v>0</v>
      </c>
      <c r="O117" s="216">
        <f>+O109+O115</f>
        <v>0</v>
      </c>
      <c r="P117" s="218"/>
      <c r="Q117" s="105"/>
      <c r="R117" s="108"/>
      <c r="S117" s="109"/>
      <c r="T117" s="110"/>
      <c r="U117" s="107"/>
      <c r="V117" s="129"/>
      <c r="W117" s="129"/>
      <c r="X117" s="129"/>
      <c r="Y117" s="129"/>
      <c r="AA117" s="130" t="s">
        <v>515</v>
      </c>
      <c r="AB117" s="130">
        <v>0</v>
      </c>
      <c r="AC117" s="321">
        <f t="shared" si="10"/>
        <v>0</v>
      </c>
      <c r="AD117" s="321"/>
      <c r="AE117" s="321">
        <f t="shared" si="11"/>
        <v>0</v>
      </c>
    </row>
    <row r="118" spans="1:31" s="130" customFormat="1" ht="13.5" thickBot="1">
      <c r="A118" s="148"/>
      <c r="B118" s="105"/>
      <c r="C118" s="105"/>
      <c r="D118" s="324"/>
      <c r="E118" s="325"/>
      <c r="F118" s="325"/>
      <c r="G118" s="325"/>
      <c r="H118" s="209"/>
      <c r="I118" s="219"/>
      <c r="J118" s="198"/>
      <c r="K118" s="208"/>
      <c r="L118" s="219"/>
      <c r="M118" s="198"/>
      <c r="N118" s="166"/>
      <c r="O118" s="208"/>
      <c r="P118" s="238"/>
      <c r="Q118" s="105"/>
      <c r="R118" s="108"/>
      <c r="S118" s="109"/>
      <c r="T118" s="110"/>
      <c r="U118" s="107"/>
      <c r="V118" s="129"/>
      <c r="W118" s="129"/>
      <c r="X118" s="129"/>
      <c r="Y118" s="129"/>
      <c r="AC118" s="321">
        <f t="shared" si="10"/>
        <v>0</v>
      </c>
      <c r="AD118" s="321"/>
      <c r="AE118" s="321">
        <f t="shared" si="11"/>
        <v>0</v>
      </c>
    </row>
    <row r="119" spans="1:31" s="130" customFormat="1" ht="19.5" thickBot="1">
      <c r="A119" s="107"/>
      <c r="B119" s="146" t="s">
        <v>519</v>
      </c>
      <c r="C119" s="118"/>
      <c r="D119" s="227">
        <f>+D103+D117</f>
        <v>0</v>
      </c>
      <c r="E119" s="228">
        <f>+E103+E117</f>
        <v>0</v>
      </c>
      <c r="F119" s="228">
        <f>+F103+F117</f>
        <v>0</v>
      </c>
      <c r="G119" s="228">
        <f>+G103+G117</f>
        <v>0</v>
      </c>
      <c r="H119" s="229">
        <f>+H103+H117</f>
        <v>0</v>
      </c>
      <c r="I119" s="231"/>
      <c r="J119" s="205">
        <f>+J103+J117</f>
        <v>8462.759999998845</v>
      </c>
      <c r="K119" s="217">
        <f>+K103+K117</f>
        <v>8462.759999999998</v>
      </c>
      <c r="L119" s="221"/>
      <c r="M119" s="205">
        <f>+M103+M117</f>
        <v>8979.040000000037</v>
      </c>
      <c r="N119" s="189">
        <f>+N103+N117</f>
        <v>516.2800000002753</v>
      </c>
      <c r="O119" s="217">
        <f>+O103+O117</f>
        <v>8979.040000000285</v>
      </c>
      <c r="P119" s="239"/>
      <c r="Q119" s="118"/>
      <c r="R119" s="115">
        <v>0</v>
      </c>
      <c r="S119" s="109"/>
      <c r="T119" s="110">
        <f>R119-S119</f>
        <v>0</v>
      </c>
      <c r="U119" s="107"/>
      <c r="V119" s="129"/>
      <c r="W119" s="129"/>
      <c r="X119" s="129"/>
      <c r="Y119" s="129"/>
      <c r="AA119" s="130" t="s">
        <v>519</v>
      </c>
      <c r="AB119" s="130">
        <v>0</v>
      </c>
      <c r="AC119" s="321">
        <f t="shared" si="10"/>
        <v>0</v>
      </c>
      <c r="AD119" s="321"/>
      <c r="AE119" s="321">
        <f t="shared" si="11"/>
        <v>0</v>
      </c>
    </row>
    <row r="120" spans="1:25" s="130" customFormat="1" ht="12.75">
      <c r="A120" s="107"/>
      <c r="B120" s="105"/>
      <c r="C120" s="105"/>
      <c r="D120" s="105"/>
      <c r="E120" s="105"/>
      <c r="F120" s="105"/>
      <c r="G120" s="105"/>
      <c r="H120" s="106"/>
      <c r="I120" s="106"/>
      <c r="J120" s="105"/>
      <c r="K120" s="105"/>
      <c r="L120" s="105"/>
      <c r="M120" s="105"/>
      <c r="N120" s="105"/>
      <c r="O120" s="105"/>
      <c r="P120" s="240"/>
      <c r="Q120" s="105"/>
      <c r="R120" s="131"/>
      <c r="S120" s="109"/>
      <c r="T120" s="110"/>
      <c r="U120" s="107"/>
      <c r="V120" s="129"/>
      <c r="W120" s="129"/>
      <c r="X120" s="129"/>
      <c r="Y120" s="129"/>
    </row>
    <row r="121" spans="1:25" s="130" customFormat="1" ht="13.5" thickBot="1">
      <c r="A121" s="107"/>
      <c r="B121" s="118"/>
      <c r="C121" s="118"/>
      <c r="D121" s="118"/>
      <c r="E121" s="118"/>
      <c r="F121" s="118"/>
      <c r="G121" s="118"/>
      <c r="H121" s="106"/>
      <c r="I121" s="106"/>
      <c r="J121" s="118"/>
      <c r="K121" s="118"/>
      <c r="L121" s="118"/>
      <c r="M121" s="118"/>
      <c r="N121" s="118"/>
      <c r="O121" s="118"/>
      <c r="P121" s="239"/>
      <c r="Q121" s="118"/>
      <c r="R121" s="153">
        <v>8459630</v>
      </c>
      <c r="S121" s="116" t="e">
        <f>S88+S82+S76+S72+S68+S65+S58+S45+#REF!+#REF!+S27+S19</f>
        <v>#REF!</v>
      </c>
      <c r="T121" s="117" t="e">
        <f>R121-S121</f>
        <v>#REF!</v>
      </c>
      <c r="U121" s="107"/>
      <c r="V121" s="129"/>
      <c r="W121" s="129"/>
      <c r="X121" s="129"/>
      <c r="Y121" s="129"/>
    </row>
    <row r="122" spans="1:25" s="130" customFormat="1" ht="12.75">
      <c r="A122" s="107"/>
      <c r="B122" s="105"/>
      <c r="C122" s="105"/>
      <c r="D122" s="105"/>
      <c r="E122" s="105"/>
      <c r="F122" s="105"/>
      <c r="G122" s="105"/>
      <c r="H122" s="106"/>
      <c r="I122" s="106"/>
      <c r="J122" s="105"/>
      <c r="K122" s="105"/>
      <c r="L122" s="105"/>
      <c r="M122" s="105"/>
      <c r="N122" s="105"/>
      <c r="O122" s="105"/>
      <c r="P122" s="241"/>
      <c r="Q122" s="105"/>
      <c r="R122" s="135"/>
      <c r="S122" s="109">
        <v>13372</v>
      </c>
      <c r="T122" s="110">
        <f>R122-S122</f>
        <v>-13372</v>
      </c>
      <c r="V122" s="129"/>
      <c r="W122" s="129"/>
      <c r="X122" s="129"/>
      <c r="Y122" s="129"/>
    </row>
    <row r="123" spans="1:25" s="130" customFormat="1" ht="13.5" thickBot="1">
      <c r="A123" s="105"/>
      <c r="B123" s="151"/>
      <c r="C123" s="151"/>
      <c r="D123" s="151"/>
      <c r="E123" s="151"/>
      <c r="F123" s="151"/>
      <c r="G123" s="151"/>
      <c r="H123" s="152"/>
      <c r="I123" s="152"/>
      <c r="J123" s="151"/>
      <c r="K123" s="151"/>
      <c r="L123" s="151"/>
      <c r="M123" s="151"/>
      <c r="N123" s="151"/>
      <c r="O123" s="151"/>
      <c r="P123" s="242"/>
      <c r="Q123" s="151"/>
      <c r="R123" s="153" t="s">
        <v>490</v>
      </c>
      <c r="S123" s="116" t="e">
        <f>#REF!-S121+S122</f>
        <v>#REF!</v>
      </c>
      <c r="T123" s="117" t="e">
        <f>R123-S123</f>
        <v>#VALUE!</v>
      </c>
      <c r="V123" s="129"/>
      <c r="W123" s="129"/>
      <c r="X123" s="129"/>
      <c r="Y123" s="129"/>
    </row>
    <row r="124" spans="22:25" ht="12.75">
      <c r="V124" s="136"/>
      <c r="W124" s="136"/>
      <c r="X124" s="136"/>
      <c r="Y124" s="136"/>
    </row>
    <row r="125" spans="22:25" ht="12.75">
      <c r="V125" s="136"/>
      <c r="W125" s="136"/>
      <c r="X125" s="136"/>
      <c r="Y125" s="136"/>
    </row>
    <row r="126" spans="22:25" ht="12.75">
      <c r="V126" s="136"/>
      <c r="W126" s="136"/>
      <c r="X126" s="136"/>
      <c r="Y126" s="136"/>
    </row>
    <row r="127" spans="22:25" ht="12.75">
      <c r="V127" s="136"/>
      <c r="W127" s="136"/>
      <c r="X127" s="136"/>
      <c r="Y127" s="136"/>
    </row>
    <row r="128" spans="22:25" ht="12.75">
      <c r="V128" s="136"/>
      <c r="W128" s="136"/>
      <c r="X128" s="136"/>
      <c r="Y128" s="136"/>
    </row>
    <row r="129" spans="22:25" ht="12.75">
      <c r="V129" s="136"/>
      <c r="W129" s="136"/>
      <c r="X129" s="136"/>
      <c r="Y129" s="136"/>
    </row>
    <row r="130" spans="22:25" ht="12.75">
      <c r="V130" s="136"/>
      <c r="W130" s="136"/>
      <c r="X130" s="136"/>
      <c r="Y130" s="136"/>
    </row>
    <row r="131" spans="22:25" ht="12.75">
      <c r="V131" s="136"/>
      <c r="W131" s="136"/>
      <c r="X131" s="136"/>
      <c r="Y131" s="136"/>
    </row>
    <row r="132" spans="22:25" ht="12.75">
      <c r="V132" s="136"/>
      <c r="W132" s="136"/>
      <c r="X132" s="136"/>
      <c r="Y132" s="136"/>
    </row>
    <row r="133" spans="22:25" ht="12.75">
      <c r="V133" s="136"/>
      <c r="W133" s="136"/>
      <c r="X133" s="136"/>
      <c r="Y133" s="136"/>
    </row>
    <row r="134" spans="22:25" ht="12.75">
      <c r="V134" s="136"/>
      <c r="W134" s="136"/>
      <c r="X134" s="136"/>
      <c r="Y134" s="136"/>
    </row>
    <row r="135" spans="22:25" ht="12.75">
      <c r="V135" s="136"/>
      <c r="W135" s="136"/>
      <c r="X135" s="136"/>
      <c r="Y135" s="136"/>
    </row>
    <row r="136" spans="22:25" ht="12.75">
      <c r="V136" s="136"/>
      <c r="W136" s="136"/>
      <c r="X136" s="136"/>
      <c r="Y136" s="136"/>
    </row>
    <row r="137" spans="22:25" ht="12.75">
      <c r="V137" s="136"/>
      <c r="W137" s="136"/>
      <c r="X137" s="136"/>
      <c r="Y137" s="136"/>
    </row>
    <row r="138" spans="22:25" ht="12.75">
      <c r="V138" s="136"/>
      <c r="W138" s="136"/>
      <c r="X138" s="136"/>
      <c r="Y138" s="136"/>
    </row>
    <row r="139" spans="22:25" ht="12.75">
      <c r="V139" s="136"/>
      <c r="W139" s="136"/>
      <c r="X139" s="136"/>
      <c r="Y139" s="136"/>
    </row>
    <row r="140" spans="22:25" ht="12.75">
      <c r="V140" s="136"/>
      <c r="W140" s="136"/>
      <c r="X140" s="136"/>
      <c r="Y140" s="136"/>
    </row>
    <row r="141" spans="22:25" ht="12.75">
      <c r="V141" s="136"/>
      <c r="W141" s="136"/>
      <c r="X141" s="136"/>
      <c r="Y141" s="136"/>
    </row>
    <row r="142" spans="22:25" ht="12.75">
      <c r="V142" s="136"/>
      <c r="W142" s="136"/>
      <c r="X142" s="136"/>
      <c r="Y142" s="136"/>
    </row>
    <row r="143" spans="22:25" ht="12.75">
      <c r="V143" s="136"/>
      <c r="W143" s="136"/>
      <c r="X143" s="136"/>
      <c r="Y143" s="136"/>
    </row>
    <row r="144" spans="22:25" ht="12.75">
      <c r="V144" s="136"/>
      <c r="W144" s="136"/>
      <c r="X144" s="136"/>
      <c r="Y144" s="136"/>
    </row>
    <row r="145" spans="22:25" ht="12.75">
      <c r="V145" s="136"/>
      <c r="W145" s="136"/>
      <c r="X145" s="136"/>
      <c r="Y145" s="136"/>
    </row>
    <row r="146" spans="22:25" ht="12.75">
      <c r="V146" s="136"/>
      <c r="W146" s="136"/>
      <c r="X146" s="136"/>
      <c r="Y146" s="136"/>
    </row>
    <row r="147" spans="22:25" ht="12.75">
      <c r="V147" s="136"/>
      <c r="W147" s="136"/>
      <c r="X147" s="136"/>
      <c r="Y147" s="136"/>
    </row>
    <row r="148" spans="22:25" ht="12.75">
      <c r="V148" s="136"/>
      <c r="W148" s="136"/>
      <c r="X148" s="136"/>
      <c r="Y148" s="136"/>
    </row>
    <row r="149" spans="23:25" ht="12.75">
      <c r="W149" s="136"/>
      <c r="X149" s="136"/>
      <c r="Y149" s="136"/>
    </row>
    <row r="150" spans="24:25" ht="12.75">
      <c r="X150" s="136"/>
      <c r="Y150" s="136"/>
    </row>
  </sheetData>
  <sheetProtection/>
  <mergeCells count="2">
    <mergeCell ref="J1:M1"/>
    <mergeCell ref="J2:M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rowBreaks count="2" manualBreakCount="2">
    <brk id="38" max="11" man="1"/>
    <brk id="82" max="11" man="1"/>
  </rowBreaks>
</worksheet>
</file>

<file path=xl/worksheets/sheet5.xml><?xml version="1.0" encoding="utf-8"?>
<worksheet xmlns="http://schemas.openxmlformats.org/spreadsheetml/2006/main" xmlns:r="http://schemas.openxmlformats.org/officeDocument/2006/relationships">
  <sheetPr codeName="Sheet4"/>
  <dimension ref="A1:Z83"/>
  <sheetViews>
    <sheetView workbookViewId="0" topLeftCell="A1">
      <selection activeCell="O14" sqref="O14"/>
    </sheetView>
  </sheetViews>
  <sheetFormatPr defaultColWidth="9.140625" defaultRowHeight="12.75"/>
  <cols>
    <col min="1" max="1" width="6.00390625" style="0" customWidth="1"/>
    <col min="2" max="2" width="39.7109375" style="0" customWidth="1"/>
    <col min="3" max="3" width="2.00390625" style="0" customWidth="1"/>
    <col min="4" max="6" width="8.8515625" style="0" customWidth="1"/>
    <col min="7" max="7" width="8.8515625" style="141" customWidth="1"/>
    <col min="8" max="8" width="3.28125" style="141" customWidth="1"/>
    <col min="9" max="9" width="9.140625" style="0" customWidth="1"/>
    <col min="10" max="10" width="9.7109375" style="0" customWidth="1"/>
    <col min="11" max="11" width="2.7109375" style="0" customWidth="1"/>
    <col min="12" max="14" width="10.28125" style="0" customWidth="1"/>
    <col min="15" max="15" width="70.421875" style="0" customWidth="1"/>
    <col min="16" max="16" width="9.421875" style="0" hidden="1" customWidth="1"/>
    <col min="17" max="17" width="9.7109375" style="0" hidden="1" customWidth="1"/>
    <col min="18" max="18" width="11.00390625" style="0" hidden="1" customWidth="1"/>
    <col min="19" max="20" width="9.00390625" style="0" hidden="1" customWidth="1"/>
    <col min="21" max="21" width="28.28125" style="0" hidden="1" customWidth="1"/>
    <col min="22" max="22" width="10.140625" style="0" hidden="1" customWidth="1"/>
    <col min="23" max="24" width="9.00390625" style="0" customWidth="1"/>
  </cols>
  <sheetData>
    <row r="1" spans="2:22" ht="17.25" customHeight="1">
      <c r="B1" s="163"/>
      <c r="C1" s="144"/>
      <c r="D1" s="144"/>
      <c r="E1" s="144"/>
      <c r="F1" s="144"/>
      <c r="G1" s="145"/>
      <c r="H1" s="145"/>
      <c r="I1" s="372" t="s">
        <v>42</v>
      </c>
      <c r="J1" s="372"/>
      <c r="K1" s="372"/>
      <c r="L1" s="372"/>
      <c r="M1" s="144"/>
      <c r="N1" s="144"/>
      <c r="O1" s="317">
        <v>42370</v>
      </c>
      <c r="P1" s="82"/>
      <c r="Q1" s="82"/>
      <c r="R1" s="82"/>
      <c r="S1" s="82"/>
      <c r="T1" s="82"/>
      <c r="U1" s="82"/>
      <c r="V1" s="83"/>
    </row>
    <row r="2" spans="2:22" ht="15" customHeight="1" thickBot="1">
      <c r="B2" s="163"/>
      <c r="C2" s="84"/>
      <c r="D2" s="84"/>
      <c r="E2" s="84"/>
      <c r="F2" s="84"/>
      <c r="G2" s="140"/>
      <c r="H2" s="140"/>
      <c r="I2" s="372" t="s">
        <v>735</v>
      </c>
      <c r="J2" s="372"/>
      <c r="K2" s="372"/>
      <c r="L2" s="372"/>
      <c r="M2" s="84"/>
      <c r="N2" s="84"/>
      <c r="O2" s="84"/>
      <c r="P2" s="84"/>
      <c r="Q2" s="84"/>
      <c r="R2" s="84"/>
      <c r="S2" s="84"/>
      <c r="T2" s="84"/>
      <c r="U2" s="84"/>
      <c r="V2" s="85"/>
    </row>
    <row r="3" spans="2:22" ht="15.75">
      <c r="B3" s="86"/>
      <c r="C3" s="86"/>
      <c r="D3" s="316" t="s">
        <v>736</v>
      </c>
      <c r="E3" s="316" t="s">
        <v>736</v>
      </c>
      <c r="F3" s="316" t="s">
        <v>736</v>
      </c>
      <c r="G3" s="316" t="s">
        <v>736</v>
      </c>
      <c r="H3" s="220"/>
      <c r="I3" s="316" t="s">
        <v>736</v>
      </c>
      <c r="J3" s="316" t="s">
        <v>736</v>
      </c>
      <c r="K3" s="220"/>
      <c r="L3" s="316" t="s">
        <v>736</v>
      </c>
      <c r="M3" s="316" t="s">
        <v>736</v>
      </c>
      <c r="N3" s="316" t="s">
        <v>736</v>
      </c>
      <c r="O3" s="230"/>
      <c r="P3" s="86"/>
      <c r="Q3" s="86"/>
      <c r="R3" s="86"/>
      <c r="S3" s="86"/>
      <c r="T3" s="86"/>
      <c r="U3" s="86"/>
      <c r="V3" s="85"/>
    </row>
    <row r="4" spans="2:22" ht="52.5" customHeight="1">
      <c r="B4" s="86"/>
      <c r="C4" s="86"/>
      <c r="D4" s="154" t="s">
        <v>552</v>
      </c>
      <c r="E4" s="154" t="s">
        <v>550</v>
      </c>
      <c r="F4" s="154" t="s">
        <v>551</v>
      </c>
      <c r="G4" s="154" t="s">
        <v>553</v>
      </c>
      <c r="H4" s="160"/>
      <c r="I4" s="155" t="s">
        <v>508</v>
      </c>
      <c r="J4" s="157" t="s">
        <v>504</v>
      </c>
      <c r="K4" s="161"/>
      <c r="L4" s="156" t="s">
        <v>509</v>
      </c>
      <c r="M4" s="156" t="s">
        <v>505</v>
      </c>
      <c r="N4" s="156" t="s">
        <v>510</v>
      </c>
      <c r="O4" s="243" t="s">
        <v>506</v>
      </c>
      <c r="P4" s="86"/>
      <c r="Q4" s="86"/>
      <c r="R4" s="86"/>
      <c r="S4" s="86"/>
      <c r="T4" s="86"/>
      <c r="U4" s="86"/>
      <c r="V4" s="85"/>
    </row>
    <row r="5" spans="2:26" ht="18.75">
      <c r="B5" s="87" t="s">
        <v>521</v>
      </c>
      <c r="C5" s="87"/>
      <c r="D5" s="206"/>
      <c r="E5" s="87"/>
      <c r="F5" s="87"/>
      <c r="G5" s="224"/>
      <c r="H5" s="158"/>
      <c r="I5" s="87"/>
      <c r="J5" s="87"/>
      <c r="K5" s="159"/>
      <c r="L5" s="87"/>
      <c r="M5" s="87"/>
      <c r="N5" s="162"/>
      <c r="O5" s="207"/>
      <c r="P5" s="87"/>
      <c r="Q5" s="88" t="s">
        <v>435</v>
      </c>
      <c r="R5" s="88" t="s">
        <v>436</v>
      </c>
      <c r="S5" s="88" t="s">
        <v>437</v>
      </c>
      <c r="T5" s="88"/>
      <c r="U5" s="89"/>
      <c r="V5" s="90"/>
      <c r="W5" s="90"/>
      <c r="X5" s="90"/>
      <c r="Y5" s="90"/>
      <c r="Z5" s="90"/>
    </row>
    <row r="6" spans="2:26" ht="18.75">
      <c r="B6" s="87"/>
      <c r="C6" s="87"/>
      <c r="D6" s="206"/>
      <c r="E6" s="87"/>
      <c r="F6" s="87"/>
      <c r="G6" s="224"/>
      <c r="H6" s="158"/>
      <c r="I6" s="87"/>
      <c r="J6" s="87"/>
      <c r="K6" s="159"/>
      <c r="L6" s="87"/>
      <c r="M6" s="87"/>
      <c r="N6" s="162"/>
      <c r="O6" s="207"/>
      <c r="P6" s="87"/>
      <c r="Q6" s="88"/>
      <c r="R6" s="88"/>
      <c r="S6" s="88"/>
      <c r="T6" s="88"/>
      <c r="U6" s="89"/>
      <c r="V6" s="90"/>
      <c r="W6" s="90"/>
      <c r="X6" s="90"/>
      <c r="Y6" s="90"/>
      <c r="Z6" s="90"/>
    </row>
    <row r="7" spans="1:24" s="92" customFormat="1" ht="12.75">
      <c r="A7" s="147"/>
      <c r="B7" s="93"/>
      <c r="C7" s="93"/>
      <c r="D7" s="202">
        <f>+'Summ (F&amp;P Govn)'!D12</f>
        <v>6846526</v>
      </c>
      <c r="E7" s="173">
        <f>+'Summ (F&amp;P Govn)'!F12</f>
        <v>3600</v>
      </c>
      <c r="F7" s="173">
        <f>+'Summ (F&amp;P Govn)'!G12</f>
        <v>17000</v>
      </c>
      <c r="G7" s="173">
        <f>+'Summ (F&amp;P Govn)'!H12</f>
        <v>6867126</v>
      </c>
      <c r="H7" s="167"/>
      <c r="I7" s="173">
        <f>+'Summ (F&amp;P Govn)'!J12</f>
        <v>6850209</v>
      </c>
      <c r="J7" s="173">
        <f>-G7+I7</f>
        <v>-16917</v>
      </c>
      <c r="K7" s="167"/>
      <c r="L7" s="173">
        <f>+'Summ (F&amp;P Govn)'!M12</f>
        <v>6867869</v>
      </c>
      <c r="M7" s="173">
        <f>-J7+N7</f>
        <v>17660</v>
      </c>
      <c r="N7" s="174">
        <f>-G7+L7</f>
        <v>743</v>
      </c>
      <c r="O7" s="236" t="s">
        <v>773</v>
      </c>
      <c r="P7" s="93"/>
      <c r="Q7" s="101"/>
      <c r="R7" s="142"/>
      <c r="S7" s="143"/>
      <c r="T7" s="94"/>
      <c r="U7" s="95"/>
      <c r="V7" s="96"/>
      <c r="W7" s="97"/>
      <c r="X7" s="97"/>
    </row>
    <row r="8" spans="1:24" s="92" customFormat="1" ht="12.75">
      <c r="A8" s="147"/>
      <c r="B8" s="93"/>
      <c r="C8" s="93"/>
      <c r="D8" s="225"/>
      <c r="E8" s="93"/>
      <c r="F8" s="93"/>
      <c r="G8" s="166"/>
      <c r="H8" s="164"/>
      <c r="I8" s="171"/>
      <c r="J8" s="171"/>
      <c r="K8" s="167"/>
      <c r="L8" s="171"/>
      <c r="M8" s="171"/>
      <c r="N8" s="172"/>
      <c r="O8" s="236"/>
      <c r="P8" s="93"/>
      <c r="Q8" s="101"/>
      <c r="R8" s="142"/>
      <c r="S8" s="143"/>
      <c r="T8" s="94"/>
      <c r="U8" s="95"/>
      <c r="V8" s="96"/>
      <c r="W8" s="97"/>
      <c r="X8" s="97"/>
    </row>
    <row r="9" spans="1:24" s="92" customFormat="1" ht="18.75">
      <c r="A9" s="90"/>
      <c r="B9" s="87" t="s">
        <v>520</v>
      </c>
      <c r="C9" s="87"/>
      <c r="D9" s="206"/>
      <c r="E9" s="87"/>
      <c r="F9" s="87"/>
      <c r="G9" s="166"/>
      <c r="H9" s="164"/>
      <c r="I9" s="175"/>
      <c r="J9" s="175"/>
      <c r="K9" s="176"/>
      <c r="L9" s="175"/>
      <c r="M9" s="175"/>
      <c r="N9" s="177"/>
      <c r="O9" s="207"/>
      <c r="P9" s="87"/>
      <c r="Q9" s="88" t="s">
        <v>435</v>
      </c>
      <c r="R9" s="90" t="s">
        <v>436</v>
      </c>
      <c r="S9" s="90" t="s">
        <v>437</v>
      </c>
      <c r="T9" s="90" t="s">
        <v>36</v>
      </c>
      <c r="U9" s="97" t="s">
        <v>439</v>
      </c>
      <c r="V9" s="98" t="s">
        <v>440</v>
      </c>
      <c r="W9" s="97"/>
      <c r="X9" s="99"/>
    </row>
    <row r="10" spans="1:25" s="92" customFormat="1" ht="12.75">
      <c r="A10" s="97"/>
      <c r="B10" s="93"/>
      <c r="C10" s="93"/>
      <c r="D10" s="225"/>
      <c r="E10" s="93"/>
      <c r="F10" s="93"/>
      <c r="G10" s="165"/>
      <c r="H10" s="178"/>
      <c r="I10" s="171"/>
      <c r="J10" s="171"/>
      <c r="K10" s="167"/>
      <c r="L10" s="171"/>
      <c r="M10" s="171"/>
      <c r="N10" s="172"/>
      <c r="O10" s="244"/>
      <c r="P10" s="93"/>
      <c r="Q10" s="104"/>
      <c r="U10" s="97"/>
      <c r="V10" s="100"/>
      <c r="W10" s="95"/>
      <c r="X10" s="100"/>
      <c r="Y10" s="102"/>
    </row>
    <row r="11" spans="1:24" s="107" customFormat="1" ht="13.5" thickBot="1">
      <c r="A11" s="114"/>
      <c r="B11" s="93" t="s">
        <v>441</v>
      </c>
      <c r="C11" s="105"/>
      <c r="D11" s="200">
        <f>+'Summ (F&amp;P Govn)'!D19</f>
        <v>3741529</v>
      </c>
      <c r="E11" s="165">
        <f>+'Summ (F&amp;P Govn)'!F19</f>
        <v>0</v>
      </c>
      <c r="F11" s="165">
        <f>+'Summ (F&amp;P Govn)'!G19</f>
        <v>0</v>
      </c>
      <c r="G11" s="165">
        <f>+'Summ (F&amp;P Govn)'!H19</f>
        <v>3741529</v>
      </c>
      <c r="H11" s="178"/>
      <c r="I11" s="165">
        <f>+'Summ (F&amp;P Govn)'!J19</f>
        <v>3724820.75</v>
      </c>
      <c r="J11" s="166">
        <f>+G11-I11</f>
        <v>16708.25</v>
      </c>
      <c r="K11" s="178"/>
      <c r="L11" s="165">
        <f>+'Summ (F&amp;P Govn)'!M19</f>
        <v>3728957.4099999997</v>
      </c>
      <c r="M11" s="166">
        <f>-J11+N11</f>
        <v>-4136.659999999683</v>
      </c>
      <c r="N11" s="168">
        <f>G11-L11</f>
        <v>12571.590000000317</v>
      </c>
      <c r="O11" s="245" t="s">
        <v>775</v>
      </c>
      <c r="P11" s="105"/>
      <c r="Q11" s="115">
        <v>5092935</v>
      </c>
      <c r="R11" s="116" t="e">
        <f>SUM(#REF!)</f>
        <v>#REF!</v>
      </c>
      <c r="S11" s="117" t="e">
        <f>Q11-R11</f>
        <v>#REF!</v>
      </c>
      <c r="U11" s="113"/>
      <c r="V11" s="112"/>
      <c r="W11" s="113"/>
      <c r="X11" s="114"/>
    </row>
    <row r="12" spans="1:24" s="107" customFormat="1" ht="12.75">
      <c r="A12" s="114"/>
      <c r="B12" s="118"/>
      <c r="C12" s="118"/>
      <c r="D12" s="246"/>
      <c r="E12" s="118"/>
      <c r="F12" s="118"/>
      <c r="G12" s="166"/>
      <c r="H12" s="164"/>
      <c r="I12" s="166"/>
      <c r="J12" s="171"/>
      <c r="K12" s="167"/>
      <c r="L12" s="171"/>
      <c r="M12" s="171"/>
      <c r="N12" s="172"/>
      <c r="O12" s="247"/>
      <c r="P12" s="118"/>
      <c r="Q12" s="119"/>
      <c r="R12" s="120"/>
      <c r="S12" s="121"/>
      <c r="U12" s="113"/>
      <c r="V12" s="112"/>
      <c r="W12" s="122"/>
      <c r="X12" s="123"/>
    </row>
    <row r="13" spans="1:24" s="107" customFormat="1" ht="13.5" thickBot="1">
      <c r="A13" s="114"/>
      <c r="B13" s="118" t="s">
        <v>445</v>
      </c>
      <c r="C13" s="105"/>
      <c r="D13" s="198">
        <f>+'Summ (F&amp;P Govn)'!D27</f>
        <v>995907</v>
      </c>
      <c r="E13" s="166">
        <f>+'Summ (F&amp;P Govn)'!F27</f>
        <v>0</v>
      </c>
      <c r="F13" s="166">
        <f>+'Summ (F&amp;P Govn)'!G27</f>
        <v>17000</v>
      </c>
      <c r="G13" s="166">
        <f>+'Summ (F&amp;P Govn)'!H27</f>
        <v>1012907</v>
      </c>
      <c r="H13" s="164"/>
      <c r="I13" s="166">
        <f>+'Summ (F&amp;P Govn)'!J27</f>
        <v>1004307.91</v>
      </c>
      <c r="J13" s="166">
        <f>+G13-I13</f>
        <v>8599.089999999967</v>
      </c>
      <c r="K13" s="164"/>
      <c r="L13" s="166">
        <f>+'Summ (F&amp;P Govn)'!M27</f>
        <v>1020338.8600000001</v>
      </c>
      <c r="M13" s="166">
        <f>-J13+N13</f>
        <v>-16030.95000000007</v>
      </c>
      <c r="N13" s="168">
        <f>G13-L13</f>
        <v>-7431.860000000102</v>
      </c>
      <c r="O13" s="236" t="s">
        <v>784</v>
      </c>
      <c r="P13" s="105"/>
      <c r="Q13" s="115">
        <v>1155034</v>
      </c>
      <c r="R13" s="124" t="e">
        <f>SUM(#REF!)</f>
        <v>#REF!</v>
      </c>
      <c r="S13" s="125" t="e">
        <f>Q13-R13</f>
        <v>#REF!</v>
      </c>
      <c r="U13" s="113"/>
      <c r="V13" s="123"/>
      <c r="W13" s="113"/>
      <c r="X13" s="114"/>
    </row>
    <row r="14" spans="1:24" s="107" customFormat="1" ht="12.75">
      <c r="A14" s="114"/>
      <c r="B14" s="105"/>
      <c r="C14" s="105"/>
      <c r="D14" s="248"/>
      <c r="E14" s="105"/>
      <c r="F14" s="105"/>
      <c r="G14" s="166"/>
      <c r="H14" s="164"/>
      <c r="I14" s="166"/>
      <c r="J14" s="166"/>
      <c r="K14" s="164"/>
      <c r="L14" s="166"/>
      <c r="M14" s="166"/>
      <c r="N14" s="168"/>
      <c r="O14" s="245"/>
      <c r="P14" s="105"/>
      <c r="Q14" s="119"/>
      <c r="R14" s="120"/>
      <c r="S14" s="121"/>
      <c r="U14" s="113"/>
      <c r="V14" s="123"/>
      <c r="W14" s="113"/>
      <c r="X14" s="114"/>
    </row>
    <row r="15" spans="1:24" s="107" customFormat="1" ht="12.75">
      <c r="A15" s="114"/>
      <c r="B15" s="118" t="s">
        <v>449</v>
      </c>
      <c r="C15" s="105"/>
      <c r="D15" s="200">
        <f>+'Summ (F&amp;P Govn)'!D32</f>
        <v>665046</v>
      </c>
      <c r="E15" s="165">
        <f>+'Summ (F&amp;P Govn)'!F32</f>
        <v>0</v>
      </c>
      <c r="F15" s="165">
        <f>+'Summ (F&amp;P Govn)'!G32</f>
        <v>0</v>
      </c>
      <c r="G15" s="165">
        <f>+'Summ (F&amp;P Govn)'!H32</f>
        <v>665046</v>
      </c>
      <c r="H15" s="178"/>
      <c r="I15" s="165">
        <f>+'Summ (F&amp;P Govn)'!J32</f>
        <v>662379.8300000001</v>
      </c>
      <c r="J15" s="166">
        <f>+G15-I15</f>
        <v>2666.1699999999255</v>
      </c>
      <c r="K15" s="178"/>
      <c r="L15" s="165">
        <f>+'Summ (F&amp;P Govn)'!M32</f>
        <v>665793.99</v>
      </c>
      <c r="M15" s="166">
        <f>-J15+N15</f>
        <v>-3414.159999999916</v>
      </c>
      <c r="N15" s="168">
        <f>G15-L15</f>
        <v>-747.9899999999907</v>
      </c>
      <c r="O15" s="245" t="s">
        <v>780</v>
      </c>
      <c r="P15" s="105"/>
      <c r="Q15" s="108"/>
      <c r="R15" s="109"/>
      <c r="S15" s="110"/>
      <c r="U15" s="113"/>
      <c r="V15" s="126"/>
      <c r="W15" s="113"/>
      <c r="X15" s="114"/>
    </row>
    <row r="16" spans="1:24" s="107" customFormat="1" ht="12.75">
      <c r="A16" s="114"/>
      <c r="B16" s="105"/>
      <c r="C16" s="105"/>
      <c r="D16" s="248"/>
      <c r="E16" s="105"/>
      <c r="F16" s="105"/>
      <c r="G16" s="165"/>
      <c r="H16" s="178"/>
      <c r="I16" s="165"/>
      <c r="J16" s="165"/>
      <c r="K16" s="178"/>
      <c r="L16" s="165"/>
      <c r="M16" s="165"/>
      <c r="N16" s="191"/>
      <c r="O16" s="245"/>
      <c r="P16" s="105"/>
      <c r="Q16" s="108"/>
      <c r="R16" s="109"/>
      <c r="S16" s="110"/>
      <c r="U16" s="113"/>
      <c r="V16" s="126"/>
      <c r="W16" s="113"/>
      <c r="X16" s="114"/>
    </row>
    <row r="17" spans="1:24" s="107" customFormat="1" ht="12.75">
      <c r="A17" s="123"/>
      <c r="B17" s="118" t="s">
        <v>451</v>
      </c>
      <c r="C17" s="105"/>
      <c r="D17" s="200">
        <f>+'Summ (F&amp;P Govn)'!D38</f>
        <v>89500</v>
      </c>
      <c r="E17" s="165">
        <f>+'Summ (F&amp;P Govn)'!F38</f>
        <v>0</v>
      </c>
      <c r="F17" s="165">
        <f>+'Summ (F&amp;P Govn)'!G38</f>
        <v>0</v>
      </c>
      <c r="G17" s="165">
        <f>+'Summ (F&amp;P Govn)'!H38</f>
        <v>89500</v>
      </c>
      <c r="H17" s="178"/>
      <c r="I17" s="165">
        <f>+'Summ (F&amp;P Govn)'!J38</f>
        <v>89500</v>
      </c>
      <c r="J17" s="166">
        <f>+G17-I17</f>
        <v>0</v>
      </c>
      <c r="K17" s="178"/>
      <c r="L17" s="165">
        <f>+'Summ (F&amp;P Govn)'!M38</f>
        <v>89500</v>
      </c>
      <c r="M17" s="166">
        <f>-J17+N17</f>
        <v>0</v>
      </c>
      <c r="N17" s="168">
        <f>G17-L17</f>
        <v>0</v>
      </c>
      <c r="O17" s="245"/>
      <c r="P17" s="105"/>
      <c r="Q17" s="108"/>
      <c r="R17" s="109"/>
      <c r="S17" s="110"/>
      <c r="U17" s="129"/>
      <c r="V17" s="123"/>
      <c r="W17" s="113"/>
      <c r="X17" s="114"/>
    </row>
    <row r="18" spans="1:24" s="107" customFormat="1" ht="12.75">
      <c r="A18" s="123"/>
      <c r="B18" s="105"/>
      <c r="C18" s="105"/>
      <c r="D18" s="248"/>
      <c r="E18" s="105"/>
      <c r="F18" s="105"/>
      <c r="G18" s="165"/>
      <c r="H18" s="178"/>
      <c r="I18" s="165"/>
      <c r="J18" s="165"/>
      <c r="K18" s="178"/>
      <c r="L18" s="165"/>
      <c r="M18" s="165"/>
      <c r="N18" s="191"/>
      <c r="O18" s="245"/>
      <c r="P18" s="105"/>
      <c r="Q18" s="108"/>
      <c r="R18" s="109"/>
      <c r="S18" s="110"/>
      <c r="U18" s="129"/>
      <c r="V18" s="123"/>
      <c r="W18" s="113"/>
      <c r="X18" s="114"/>
    </row>
    <row r="19" spans="1:24" s="130" customFormat="1" ht="13.5" thickBot="1">
      <c r="A19" s="148"/>
      <c r="B19" s="118" t="s">
        <v>457</v>
      </c>
      <c r="C19" s="105"/>
      <c r="D19" s="198">
        <f>+'Summ (F&amp;P Govn)'!D45</f>
        <v>370500</v>
      </c>
      <c r="E19" s="166">
        <f>+'Summ (F&amp;P Govn)'!F45</f>
        <v>0</v>
      </c>
      <c r="F19" s="166">
        <f>+'Summ (F&amp;P Govn)'!G45</f>
        <v>0</v>
      </c>
      <c r="G19" s="166">
        <f>+'Summ (F&amp;P Govn)'!H45</f>
        <v>370500</v>
      </c>
      <c r="H19" s="164"/>
      <c r="I19" s="166">
        <f>+'Summ (F&amp;P Govn)'!J45</f>
        <v>372284.13</v>
      </c>
      <c r="J19" s="166">
        <f>+G19-I19</f>
        <v>-1784.1300000000047</v>
      </c>
      <c r="K19" s="164"/>
      <c r="L19" s="166">
        <f>+'Summ (F&amp;P Govn)'!M45</f>
        <v>367029.38</v>
      </c>
      <c r="M19" s="166">
        <f>-J19+N19</f>
        <v>5254.75</v>
      </c>
      <c r="N19" s="168">
        <f>G19-L19</f>
        <v>3470.6199999999953</v>
      </c>
      <c r="O19" s="245" t="s">
        <v>785</v>
      </c>
      <c r="P19" s="105"/>
      <c r="Q19" s="132">
        <v>325326</v>
      </c>
      <c r="R19" s="116" t="e">
        <f>SUM(#REF!)</f>
        <v>#REF!</v>
      </c>
      <c r="S19" s="117" t="e">
        <f>Q19-R19</f>
        <v>#REF!</v>
      </c>
      <c r="T19" s="107"/>
      <c r="U19" s="129"/>
      <c r="V19" s="129"/>
      <c r="W19" s="129"/>
      <c r="X19" s="129"/>
    </row>
    <row r="20" spans="1:24" s="130" customFormat="1" ht="12.75">
      <c r="A20" s="148"/>
      <c r="B20" s="105"/>
      <c r="C20" s="105"/>
      <c r="D20" s="248"/>
      <c r="E20" s="105"/>
      <c r="F20" s="105"/>
      <c r="G20" s="166"/>
      <c r="H20" s="164"/>
      <c r="I20" s="166"/>
      <c r="J20" s="166"/>
      <c r="K20" s="164"/>
      <c r="L20" s="166"/>
      <c r="M20" s="166"/>
      <c r="N20" s="168"/>
      <c r="O20" s="245"/>
      <c r="P20" s="105"/>
      <c r="Q20" s="192"/>
      <c r="R20" s="120"/>
      <c r="S20" s="121"/>
      <c r="T20" s="107"/>
      <c r="U20" s="129"/>
      <c r="V20" s="129"/>
      <c r="W20" s="129"/>
      <c r="X20" s="129"/>
    </row>
    <row r="21" spans="1:24" s="130" customFormat="1" ht="13.5" thickBot="1">
      <c r="A21" s="148"/>
      <c r="B21" s="118" t="s">
        <v>461</v>
      </c>
      <c r="C21" s="105"/>
      <c r="D21" s="198">
        <f>+'Summ (F&amp;P Govn)'!D58</f>
        <v>596072</v>
      </c>
      <c r="E21" s="166">
        <f>+'Summ (F&amp;P Govn)'!F58</f>
        <v>3600</v>
      </c>
      <c r="F21" s="166">
        <f>+'Summ (F&amp;P Govn)'!G58</f>
        <v>0</v>
      </c>
      <c r="G21" s="166">
        <f>+'Summ (F&amp;P Govn)'!H58</f>
        <v>599672</v>
      </c>
      <c r="H21" s="164"/>
      <c r="I21" s="166">
        <f>+'Summ (F&amp;P Govn)'!J58</f>
        <v>599868.74</v>
      </c>
      <c r="J21" s="166">
        <f>+G21-I21</f>
        <v>-196.7399999999907</v>
      </c>
      <c r="K21" s="164"/>
      <c r="L21" s="166">
        <f>+'Summ (F&amp;P Govn)'!M58</f>
        <v>599780.3400000001</v>
      </c>
      <c r="M21" s="166">
        <f>-J21+N21</f>
        <v>88.39999999990687</v>
      </c>
      <c r="N21" s="168">
        <f>G21-L21</f>
        <v>-108.34000000008382</v>
      </c>
      <c r="O21" s="245"/>
      <c r="P21" s="105"/>
      <c r="Q21" s="115">
        <v>509966</v>
      </c>
      <c r="R21" s="116" t="e">
        <f>SUM(#REF!)</f>
        <v>#REF!</v>
      </c>
      <c r="S21" s="117" t="e">
        <f>Q21-R21</f>
        <v>#REF!</v>
      </c>
      <c r="T21" s="107"/>
      <c r="U21" s="129"/>
      <c r="V21" s="129"/>
      <c r="W21" s="129"/>
      <c r="X21" s="129"/>
    </row>
    <row r="22" spans="1:24" s="130" customFormat="1" ht="12.75">
      <c r="A22" s="148"/>
      <c r="B22" s="105"/>
      <c r="C22" s="105"/>
      <c r="D22" s="248"/>
      <c r="E22" s="105"/>
      <c r="F22" s="105"/>
      <c r="G22" s="166"/>
      <c r="H22" s="164"/>
      <c r="I22" s="166"/>
      <c r="J22" s="166"/>
      <c r="K22" s="164"/>
      <c r="L22" s="166"/>
      <c r="M22" s="166"/>
      <c r="N22" s="168"/>
      <c r="O22" s="245"/>
      <c r="P22" s="105"/>
      <c r="Q22" s="119"/>
      <c r="R22" s="120"/>
      <c r="S22" s="121"/>
      <c r="T22" s="107"/>
      <c r="U22" s="129"/>
      <c r="V22" s="129"/>
      <c r="W22" s="129"/>
      <c r="X22" s="129"/>
    </row>
    <row r="23" spans="1:24" s="130" customFormat="1" ht="13.5" thickBot="1">
      <c r="A23" s="148"/>
      <c r="B23" s="118" t="s">
        <v>471</v>
      </c>
      <c r="C23" s="105"/>
      <c r="D23" s="198">
        <f>+'Summ (F&amp;P Govn)'!D65</f>
        <v>67500</v>
      </c>
      <c r="E23" s="166">
        <f>+'Summ (F&amp;P Govn)'!F65</f>
        <v>0</v>
      </c>
      <c r="F23" s="166">
        <f>+'Summ (F&amp;P Govn)'!G65</f>
        <v>0</v>
      </c>
      <c r="G23" s="166">
        <f>+'Summ (F&amp;P Govn)'!H65</f>
        <v>67500</v>
      </c>
      <c r="H23" s="164"/>
      <c r="I23" s="166">
        <f>+'Summ (F&amp;P Govn)'!J65</f>
        <v>67628.20999999999</v>
      </c>
      <c r="J23" s="166">
        <f>+G23-I23</f>
        <v>-128.20999999999185</v>
      </c>
      <c r="K23" s="164"/>
      <c r="L23" s="166">
        <f>+'Summ (F&amp;P Govn)'!M65</f>
        <v>69081.79000000001</v>
      </c>
      <c r="M23" s="166">
        <f>-J23+N23</f>
        <v>-1453.5800000000163</v>
      </c>
      <c r="N23" s="168">
        <f>G23-L23</f>
        <v>-1581.7900000000081</v>
      </c>
      <c r="O23" s="245" t="s">
        <v>786</v>
      </c>
      <c r="P23" s="105"/>
      <c r="Q23" s="132">
        <v>227652</v>
      </c>
      <c r="R23" s="116" t="e">
        <f>SUM(#REF!)</f>
        <v>#REF!</v>
      </c>
      <c r="S23" s="117" t="e">
        <f>Q23-R23</f>
        <v>#REF!</v>
      </c>
      <c r="T23" s="107"/>
      <c r="U23" s="129"/>
      <c r="V23" s="129"/>
      <c r="W23" s="129"/>
      <c r="X23" s="129"/>
    </row>
    <row r="24" spans="1:24" s="130" customFormat="1" ht="12.75">
      <c r="A24" s="148"/>
      <c r="B24" s="105"/>
      <c r="C24" s="105"/>
      <c r="D24" s="248"/>
      <c r="E24" s="105"/>
      <c r="F24" s="105"/>
      <c r="G24" s="166"/>
      <c r="H24" s="164"/>
      <c r="I24" s="166"/>
      <c r="J24" s="166"/>
      <c r="K24" s="164"/>
      <c r="L24" s="166"/>
      <c r="M24" s="166"/>
      <c r="N24" s="168"/>
      <c r="O24" s="245"/>
      <c r="P24" s="105"/>
      <c r="Q24" s="192"/>
      <c r="R24" s="120"/>
      <c r="S24" s="121"/>
      <c r="T24" s="107"/>
      <c r="U24" s="129"/>
      <c r="V24" s="129"/>
      <c r="W24" s="129"/>
      <c r="X24" s="129"/>
    </row>
    <row r="25" spans="1:24" s="130" customFormat="1" ht="13.5" thickBot="1">
      <c r="A25" s="148"/>
      <c r="B25" s="118" t="s">
        <v>476</v>
      </c>
      <c r="C25" s="105"/>
      <c r="D25" s="198">
        <f>+'Summ (F&amp;P Govn)'!D68</f>
        <v>1000</v>
      </c>
      <c r="E25" s="166">
        <f>+'Summ (F&amp;P Govn)'!F68</f>
        <v>0</v>
      </c>
      <c r="F25" s="166">
        <f>+'Summ (F&amp;P Govn)'!G68</f>
        <v>0</v>
      </c>
      <c r="G25" s="166">
        <f>+'Summ (F&amp;P Govn)'!H68</f>
        <v>1000</v>
      </c>
      <c r="H25" s="164"/>
      <c r="I25" s="166">
        <f>+'Summ (F&amp;P Govn)'!J68</f>
        <v>1000</v>
      </c>
      <c r="J25" s="166">
        <f>+G25-I25</f>
        <v>0</v>
      </c>
      <c r="K25" s="164"/>
      <c r="L25" s="166">
        <f>+'Summ (F&amp;P Govn)'!M68</f>
        <v>1000</v>
      </c>
      <c r="M25" s="166">
        <f>-J25+N25</f>
        <v>0</v>
      </c>
      <c r="N25" s="168">
        <f>G25-L25</f>
        <v>0</v>
      </c>
      <c r="O25" s="245"/>
      <c r="P25" s="105"/>
      <c r="Q25" s="115">
        <v>5000</v>
      </c>
      <c r="R25" s="116" t="e">
        <f>SUM(#REF!)</f>
        <v>#REF!</v>
      </c>
      <c r="S25" s="117" t="e">
        <f>Q25-R25</f>
        <v>#REF!</v>
      </c>
      <c r="T25" s="107"/>
      <c r="U25" s="129"/>
      <c r="V25" s="129"/>
      <c r="W25" s="129"/>
      <c r="X25" s="129"/>
    </row>
    <row r="26" spans="1:24" s="130" customFormat="1" ht="12.75">
      <c r="A26" s="148"/>
      <c r="B26" s="105"/>
      <c r="C26" s="105"/>
      <c r="D26" s="248"/>
      <c r="E26" s="105"/>
      <c r="F26" s="105"/>
      <c r="G26" s="166"/>
      <c r="H26" s="164"/>
      <c r="I26" s="166"/>
      <c r="J26" s="166"/>
      <c r="K26" s="164"/>
      <c r="L26" s="166"/>
      <c r="M26" s="166"/>
      <c r="N26" s="168"/>
      <c r="O26" s="245"/>
      <c r="P26" s="105"/>
      <c r="Q26" s="119"/>
      <c r="R26" s="120"/>
      <c r="S26" s="121"/>
      <c r="T26" s="107"/>
      <c r="U26" s="129"/>
      <c r="V26" s="129"/>
      <c r="W26" s="129"/>
      <c r="X26" s="129"/>
    </row>
    <row r="27" spans="1:24" s="130" customFormat="1" ht="13.5" thickBot="1">
      <c r="A27" s="148"/>
      <c r="B27" s="118" t="s">
        <v>478</v>
      </c>
      <c r="C27" s="105"/>
      <c r="D27" s="198">
        <f>+'Summ (F&amp;P Govn)'!D72</f>
        <v>90000</v>
      </c>
      <c r="E27" s="166">
        <f>+'Summ (F&amp;P Govn)'!F72</f>
        <v>0</v>
      </c>
      <c r="F27" s="166">
        <f>+'Summ (F&amp;P Govn)'!G72</f>
        <v>0</v>
      </c>
      <c r="G27" s="166">
        <f>+'Summ (F&amp;P Govn)'!H72</f>
        <v>90000</v>
      </c>
      <c r="H27" s="164"/>
      <c r="I27" s="166">
        <f>+'Summ (F&amp;P Govn)'!J72</f>
        <v>90000</v>
      </c>
      <c r="J27" s="166">
        <f>+G27-I27</f>
        <v>0</v>
      </c>
      <c r="K27" s="164"/>
      <c r="L27" s="166">
        <f>+'Summ (F&amp;P Govn)'!M72</f>
        <v>88551.55</v>
      </c>
      <c r="M27" s="166">
        <f>-J27+N27</f>
        <v>1448.449999999997</v>
      </c>
      <c r="N27" s="168">
        <f>G27-L27</f>
        <v>1448.449999999997</v>
      </c>
      <c r="O27" s="245" t="s">
        <v>758</v>
      </c>
      <c r="P27" s="105"/>
      <c r="Q27" s="132">
        <v>151900</v>
      </c>
      <c r="R27" s="116" t="e">
        <f>SUM(#REF!)</f>
        <v>#REF!</v>
      </c>
      <c r="S27" s="117" t="e">
        <f>Q27-R27</f>
        <v>#REF!</v>
      </c>
      <c r="T27" s="107"/>
      <c r="U27" s="129"/>
      <c r="V27" s="129"/>
      <c r="W27" s="129"/>
      <c r="X27" s="129"/>
    </row>
    <row r="28" spans="1:24" s="130" customFormat="1" ht="12.75">
      <c r="A28" s="148"/>
      <c r="B28" s="105"/>
      <c r="C28" s="105"/>
      <c r="D28" s="198"/>
      <c r="E28" s="166"/>
      <c r="F28" s="166"/>
      <c r="G28" s="166"/>
      <c r="H28" s="164"/>
      <c r="I28" s="166"/>
      <c r="J28" s="166"/>
      <c r="K28" s="164"/>
      <c r="L28" s="166"/>
      <c r="M28" s="166"/>
      <c r="N28" s="168"/>
      <c r="O28" s="245"/>
      <c r="P28" s="105"/>
      <c r="Q28" s="192"/>
      <c r="R28" s="120"/>
      <c r="S28" s="121"/>
      <c r="T28" s="107"/>
      <c r="U28" s="129"/>
      <c r="V28" s="129"/>
      <c r="W28" s="129"/>
      <c r="X28" s="129"/>
    </row>
    <row r="29" spans="1:24" s="130" customFormat="1" ht="13.5" thickBot="1">
      <c r="A29" s="148"/>
      <c r="B29" s="118" t="s">
        <v>481</v>
      </c>
      <c r="C29" s="105"/>
      <c r="D29" s="198">
        <f>+'Summ (F&amp;P Govn)'!D76</f>
        <v>14000</v>
      </c>
      <c r="E29" s="166">
        <f>+'Summ (F&amp;P Govn)'!F76</f>
        <v>0</v>
      </c>
      <c r="F29" s="166">
        <f>+'Summ (F&amp;P Govn)'!G76</f>
        <v>0</v>
      </c>
      <c r="G29" s="166">
        <f>+'Summ (F&amp;P Govn)'!H76</f>
        <v>14000</v>
      </c>
      <c r="H29" s="164"/>
      <c r="I29" s="166">
        <f>+'Summ (F&amp;P Govn)'!J76</f>
        <v>14000</v>
      </c>
      <c r="J29" s="166">
        <f>+G29-I29</f>
        <v>0</v>
      </c>
      <c r="K29" s="164"/>
      <c r="L29" s="166">
        <f>+'Summ (F&amp;P Govn)'!M76</f>
        <v>14000</v>
      </c>
      <c r="M29" s="166">
        <f>-J29+N29</f>
        <v>0</v>
      </c>
      <c r="N29" s="168">
        <f>G29-L29</f>
        <v>0</v>
      </c>
      <c r="O29" s="245"/>
      <c r="P29" s="105"/>
      <c r="Q29" s="115">
        <v>31500</v>
      </c>
      <c r="R29" s="116" t="e">
        <f>SUM(#REF!)</f>
        <v>#REF!</v>
      </c>
      <c r="S29" s="117" t="e">
        <f>Q29-R29</f>
        <v>#REF!</v>
      </c>
      <c r="T29" s="107"/>
      <c r="U29" s="129"/>
      <c r="V29" s="129"/>
      <c r="W29" s="129"/>
      <c r="X29" s="129"/>
    </row>
    <row r="30" spans="1:24" s="130" customFormat="1" ht="12.75">
      <c r="A30" s="148"/>
      <c r="B30" s="105"/>
      <c r="C30" s="105"/>
      <c r="D30" s="198"/>
      <c r="E30" s="166"/>
      <c r="F30" s="166"/>
      <c r="G30" s="166"/>
      <c r="H30" s="164"/>
      <c r="I30" s="166"/>
      <c r="J30" s="166"/>
      <c r="K30" s="164"/>
      <c r="L30" s="166"/>
      <c r="M30" s="166"/>
      <c r="N30" s="168"/>
      <c r="O30" s="245"/>
      <c r="P30" s="105"/>
      <c r="Q30" s="119"/>
      <c r="R30" s="120"/>
      <c r="S30" s="121"/>
      <c r="T30" s="107"/>
      <c r="U30" s="129"/>
      <c r="V30" s="129"/>
      <c r="W30" s="129"/>
      <c r="X30" s="129"/>
    </row>
    <row r="31" spans="1:24" s="130" customFormat="1" ht="13.5" thickBot="1">
      <c r="A31" s="148"/>
      <c r="B31" s="118" t="s">
        <v>484</v>
      </c>
      <c r="C31" s="105"/>
      <c r="D31" s="198">
        <f>+'Summ (F&amp;P Govn)'!D82</f>
        <v>21000</v>
      </c>
      <c r="E31" s="166">
        <f>+'Summ (F&amp;P Govn)'!F82</f>
        <v>0</v>
      </c>
      <c r="F31" s="166">
        <f>+'Summ (F&amp;P Govn)'!G82</f>
        <v>0</v>
      </c>
      <c r="G31" s="166">
        <f>+'Summ (F&amp;P Govn)'!H82</f>
        <v>21000</v>
      </c>
      <c r="H31" s="164"/>
      <c r="I31" s="166">
        <f>+'Summ (F&amp;P Govn)'!J82</f>
        <v>21000</v>
      </c>
      <c r="J31" s="166">
        <f>+G31-I31</f>
        <v>0</v>
      </c>
      <c r="K31" s="164"/>
      <c r="L31" s="166">
        <f>+'Summ (F&amp;P Govn)'!M82</f>
        <v>21000</v>
      </c>
      <c r="M31" s="166">
        <f>-J31+N31</f>
        <v>0</v>
      </c>
      <c r="N31" s="168">
        <f>G31-L31</f>
        <v>0</v>
      </c>
      <c r="O31" s="245"/>
      <c r="P31" s="105"/>
      <c r="Q31" s="132">
        <v>36500</v>
      </c>
      <c r="R31" s="116" t="e">
        <f>SUM(#REF!)</f>
        <v>#REF!</v>
      </c>
      <c r="S31" s="117" t="e">
        <f>Q31-R31</f>
        <v>#REF!</v>
      </c>
      <c r="T31" s="107"/>
      <c r="U31" s="129"/>
      <c r="V31" s="129"/>
      <c r="W31" s="129"/>
      <c r="X31" s="129"/>
    </row>
    <row r="32" spans="1:24" s="130" customFormat="1" ht="12.75">
      <c r="A32" s="148"/>
      <c r="B32" s="105"/>
      <c r="C32" s="105"/>
      <c r="D32" s="198"/>
      <c r="E32" s="166"/>
      <c r="F32" s="166"/>
      <c r="G32" s="166"/>
      <c r="H32" s="164"/>
      <c r="I32" s="166"/>
      <c r="J32" s="166"/>
      <c r="K32" s="164"/>
      <c r="L32" s="166"/>
      <c r="M32" s="166"/>
      <c r="N32" s="168"/>
      <c r="O32" s="245"/>
      <c r="P32" s="105"/>
      <c r="Q32" s="131"/>
      <c r="R32" s="109"/>
      <c r="S32" s="110"/>
      <c r="T32" s="107"/>
      <c r="U32" s="129"/>
      <c r="V32" s="129"/>
      <c r="W32" s="129"/>
      <c r="X32" s="129"/>
    </row>
    <row r="33" spans="1:24" s="130" customFormat="1" ht="13.5" thickBot="1">
      <c r="A33" s="148"/>
      <c r="B33" s="118" t="s">
        <v>488</v>
      </c>
      <c r="C33" s="105"/>
      <c r="D33" s="198">
        <f>+'Summ (F&amp;P Govn)'!D88</f>
        <v>138017</v>
      </c>
      <c r="E33" s="166">
        <f>+'Summ (F&amp;P Govn)'!F88</f>
        <v>0</v>
      </c>
      <c r="F33" s="166">
        <f>+'Summ (F&amp;P Govn)'!G88</f>
        <v>0</v>
      </c>
      <c r="G33" s="166">
        <f>+'Summ (F&amp;P Govn)'!H88</f>
        <v>138017</v>
      </c>
      <c r="H33" s="164"/>
      <c r="I33" s="166">
        <f>+'Summ (F&amp;P Govn)'!J88</f>
        <v>138000</v>
      </c>
      <c r="J33" s="166">
        <f>+G33-I33</f>
        <v>17</v>
      </c>
      <c r="K33" s="164"/>
      <c r="L33" s="166">
        <f>+'Summ (F&amp;P Govn)'!M88</f>
        <v>139133.06</v>
      </c>
      <c r="M33" s="166">
        <f>-J33+N33</f>
        <v>-1133.0599999999977</v>
      </c>
      <c r="N33" s="168">
        <f>G33-L33</f>
        <v>-1116.0599999999977</v>
      </c>
      <c r="O33" s="245" t="s">
        <v>787</v>
      </c>
      <c r="P33" s="105"/>
      <c r="Q33" s="115">
        <v>55820</v>
      </c>
      <c r="R33" s="116" t="e">
        <f>SUM(#REF!)</f>
        <v>#REF!</v>
      </c>
      <c r="S33" s="117" t="e">
        <f>Q33-R33</f>
        <v>#REF!</v>
      </c>
      <c r="T33" s="107"/>
      <c r="U33" s="129"/>
      <c r="V33" s="129"/>
      <c r="W33" s="129"/>
      <c r="X33" s="129"/>
    </row>
    <row r="34" spans="1:24" s="130" customFormat="1" ht="12.75">
      <c r="A34" s="148"/>
      <c r="B34" s="105"/>
      <c r="C34" s="105"/>
      <c r="D34" s="198"/>
      <c r="E34" s="166"/>
      <c r="F34" s="166"/>
      <c r="G34" s="166"/>
      <c r="H34" s="164"/>
      <c r="I34" s="166"/>
      <c r="J34" s="166"/>
      <c r="K34" s="164"/>
      <c r="L34" s="166"/>
      <c r="M34" s="166"/>
      <c r="N34" s="168"/>
      <c r="O34" s="245"/>
      <c r="P34" s="105"/>
      <c r="Q34" s="119"/>
      <c r="R34" s="120"/>
      <c r="S34" s="121"/>
      <c r="T34" s="107"/>
      <c r="U34" s="129"/>
      <c r="V34" s="129"/>
      <c r="W34" s="129"/>
      <c r="X34" s="129"/>
    </row>
    <row r="35" spans="1:24" s="130" customFormat="1" ht="12.75">
      <c r="A35" s="148"/>
      <c r="B35" s="118" t="s">
        <v>496</v>
      </c>
      <c r="C35" s="105"/>
      <c r="D35" s="198">
        <f>+'Summ (F&amp;P Govn)'!D94</f>
        <v>1925</v>
      </c>
      <c r="E35" s="166">
        <f>+'Summ (F&amp;P Govn)'!F94</f>
        <v>0</v>
      </c>
      <c r="F35" s="166">
        <f>+'Summ (F&amp;P Govn)'!G94</f>
        <v>0</v>
      </c>
      <c r="G35" s="166">
        <f>+'Summ (F&amp;P Govn)'!H94</f>
        <v>1925</v>
      </c>
      <c r="H35" s="164"/>
      <c r="I35" s="166">
        <f>+'Summ (F&amp;P Govn)'!J94</f>
        <v>2426.67</v>
      </c>
      <c r="J35" s="166">
        <f>+G35-I35</f>
        <v>-501.6700000000001</v>
      </c>
      <c r="K35" s="164"/>
      <c r="L35" s="166">
        <f>+'Summ (F&amp;P Govn)'!M94</f>
        <v>193.5800000000006</v>
      </c>
      <c r="M35" s="166">
        <f>-J35+N35</f>
        <v>2233.0899999999992</v>
      </c>
      <c r="N35" s="168">
        <f>G35-L35</f>
        <v>1731.4199999999994</v>
      </c>
      <c r="O35" s="245" t="s">
        <v>788</v>
      </c>
      <c r="P35" s="105"/>
      <c r="Q35" s="108"/>
      <c r="R35" s="109"/>
      <c r="S35" s="110"/>
      <c r="T35" s="107"/>
      <c r="U35" s="129"/>
      <c r="V35" s="129"/>
      <c r="W35" s="129"/>
      <c r="X35" s="129"/>
    </row>
    <row r="36" spans="1:24" s="130" customFormat="1" ht="12.75">
      <c r="A36" s="148"/>
      <c r="B36" s="118"/>
      <c r="C36" s="105"/>
      <c r="D36" s="198"/>
      <c r="E36" s="166"/>
      <c r="F36" s="166"/>
      <c r="G36" s="166"/>
      <c r="H36" s="164"/>
      <c r="I36" s="166"/>
      <c r="J36" s="166"/>
      <c r="K36" s="164"/>
      <c r="L36" s="166"/>
      <c r="M36" s="166"/>
      <c r="N36" s="168"/>
      <c r="O36" s="245"/>
      <c r="P36" s="105"/>
      <c r="Q36" s="108"/>
      <c r="R36" s="109"/>
      <c r="S36" s="110"/>
      <c r="T36" s="107"/>
      <c r="U36" s="129"/>
      <c r="V36" s="129"/>
      <c r="W36" s="129"/>
      <c r="X36" s="129"/>
    </row>
    <row r="37" spans="1:24" s="130" customFormat="1" ht="12.75">
      <c r="A37" s="148"/>
      <c r="B37" s="118" t="s">
        <v>498</v>
      </c>
      <c r="C37" s="105"/>
      <c r="D37" s="198">
        <f>+'Summ (F&amp;P Govn)'!D99</f>
        <v>54530</v>
      </c>
      <c r="E37" s="166">
        <f>+'Summ (F&amp;P Govn)'!F99</f>
        <v>0</v>
      </c>
      <c r="F37" s="166">
        <f>+'Summ (F&amp;P Govn)'!G99</f>
        <v>0</v>
      </c>
      <c r="G37" s="166">
        <f>+'Summ (F&amp;P Govn)'!H99</f>
        <v>54530</v>
      </c>
      <c r="H37" s="164"/>
      <c r="I37" s="166">
        <f>+'Summ (F&amp;P Govn)'!J99</f>
        <v>54530</v>
      </c>
      <c r="J37" s="166">
        <f>+G37-I37</f>
        <v>0</v>
      </c>
      <c r="K37" s="164"/>
      <c r="L37" s="166">
        <f>+'Summ (F&amp;P Govn)'!M99</f>
        <v>54530</v>
      </c>
      <c r="M37" s="166">
        <f>-J37+N37</f>
        <v>0</v>
      </c>
      <c r="N37" s="168">
        <f>G37-L37</f>
        <v>0</v>
      </c>
      <c r="O37" s="245"/>
      <c r="P37" s="105"/>
      <c r="Q37" s="108"/>
      <c r="R37" s="109"/>
      <c r="S37" s="110"/>
      <c r="T37" s="107"/>
      <c r="U37" s="129"/>
      <c r="V37" s="129"/>
      <c r="W37" s="129"/>
      <c r="X37" s="129"/>
    </row>
    <row r="38" spans="1:24" s="130" customFormat="1" ht="12.75">
      <c r="A38" s="148"/>
      <c r="B38" s="105"/>
      <c r="C38" s="105"/>
      <c r="D38" s="248"/>
      <c r="E38" s="105"/>
      <c r="F38" s="105"/>
      <c r="G38" s="166"/>
      <c r="H38" s="164"/>
      <c r="I38" s="166"/>
      <c r="J38" s="166"/>
      <c r="K38" s="164"/>
      <c r="L38" s="166"/>
      <c r="M38" s="166"/>
      <c r="N38" s="168"/>
      <c r="O38" s="245"/>
      <c r="P38" s="105"/>
      <c r="Q38" s="108"/>
      <c r="R38" s="109"/>
      <c r="S38" s="110"/>
      <c r="T38" s="107"/>
      <c r="U38" s="129"/>
      <c r="V38" s="129"/>
      <c r="W38" s="129"/>
      <c r="X38" s="129"/>
    </row>
    <row r="39" spans="1:24" s="130" customFormat="1" ht="18.75">
      <c r="A39" s="148"/>
      <c r="B39" s="146" t="s">
        <v>511</v>
      </c>
      <c r="C39" s="105"/>
      <c r="D39" s="202">
        <f>SUM(D9:D37)</f>
        <v>6846526</v>
      </c>
      <c r="E39" s="173">
        <f>SUM(E9:E37)</f>
        <v>3600</v>
      </c>
      <c r="F39" s="173">
        <f>SUM(F9:F37)</f>
        <v>17000</v>
      </c>
      <c r="G39" s="173">
        <f>SUM(G9:G37)</f>
        <v>6867126</v>
      </c>
      <c r="H39" s="167"/>
      <c r="I39" s="173">
        <f>SUM(I9:I37)</f>
        <v>6841746.24</v>
      </c>
      <c r="J39" s="173">
        <f>SUM(J9:J37)</f>
        <v>25379.759999999907</v>
      </c>
      <c r="K39" s="167"/>
      <c r="L39" s="173">
        <f>SUM(L9:L37)</f>
        <v>6858889.959999999</v>
      </c>
      <c r="M39" s="173">
        <f>SUM(M9:M37)</f>
        <v>-17143.71999999978</v>
      </c>
      <c r="N39" s="174">
        <f>SUM(N9:N37)</f>
        <v>8236.040000000126</v>
      </c>
      <c r="O39" s="245"/>
      <c r="P39" s="105"/>
      <c r="Q39" s="108"/>
      <c r="R39" s="109"/>
      <c r="S39" s="110"/>
      <c r="T39" s="107"/>
      <c r="U39" s="129"/>
      <c r="V39" s="129"/>
      <c r="W39" s="129"/>
      <c r="X39" s="129"/>
    </row>
    <row r="40" spans="1:24" s="130" customFormat="1" ht="18.75">
      <c r="A40" s="148"/>
      <c r="B40" s="146"/>
      <c r="C40" s="105"/>
      <c r="D40" s="248"/>
      <c r="E40" s="105"/>
      <c r="F40" s="105"/>
      <c r="G40" s="171"/>
      <c r="H40" s="167"/>
      <c r="I40" s="171"/>
      <c r="J40" s="171"/>
      <c r="K40" s="164"/>
      <c r="L40" s="171"/>
      <c r="M40" s="171"/>
      <c r="N40" s="172"/>
      <c r="O40" s="245"/>
      <c r="P40" s="105"/>
      <c r="Q40" s="108"/>
      <c r="R40" s="109"/>
      <c r="S40" s="110"/>
      <c r="T40" s="107"/>
      <c r="U40" s="129"/>
      <c r="V40" s="129"/>
      <c r="W40" s="129"/>
      <c r="X40" s="129"/>
    </row>
    <row r="41" spans="1:24" s="130" customFormat="1" ht="18.75">
      <c r="A41" s="148"/>
      <c r="B41" s="146" t="s">
        <v>512</v>
      </c>
      <c r="C41" s="105"/>
      <c r="D41" s="204">
        <f>+D7-D39</f>
        <v>0</v>
      </c>
      <c r="E41" s="187">
        <f>+E7-E39</f>
        <v>0</v>
      </c>
      <c r="F41" s="187">
        <f>+F7-F39</f>
        <v>0</v>
      </c>
      <c r="G41" s="187">
        <f>+G7-G39</f>
        <v>0</v>
      </c>
      <c r="H41" s="167"/>
      <c r="I41" s="187">
        <f>+I7-I39</f>
        <v>8462.759999999776</v>
      </c>
      <c r="J41" s="187">
        <f>+J7+J39</f>
        <v>8462.759999999907</v>
      </c>
      <c r="K41" s="167"/>
      <c r="L41" s="187">
        <f>+L7-L39</f>
        <v>8979.040000000969</v>
      </c>
      <c r="M41" s="187">
        <f>+M7+M39</f>
        <v>516.2800000002208</v>
      </c>
      <c r="N41" s="188">
        <f>+N7+N39</f>
        <v>8979.040000000126</v>
      </c>
      <c r="O41" s="245"/>
      <c r="P41" s="105"/>
      <c r="Q41" s="108"/>
      <c r="R41" s="109"/>
      <c r="S41" s="110"/>
      <c r="T41" s="107"/>
      <c r="U41" s="129"/>
      <c r="V41" s="129"/>
      <c r="W41" s="129"/>
      <c r="X41" s="129"/>
    </row>
    <row r="42" spans="1:24" s="130" customFormat="1" ht="18.75">
      <c r="A42" s="148"/>
      <c r="B42" s="146"/>
      <c r="C42" s="105"/>
      <c r="D42" s="248"/>
      <c r="E42" s="105"/>
      <c r="F42" s="105"/>
      <c r="G42" s="171"/>
      <c r="H42" s="167"/>
      <c r="I42" s="171"/>
      <c r="J42" s="171"/>
      <c r="K42" s="164"/>
      <c r="L42" s="171"/>
      <c r="M42" s="171"/>
      <c r="N42" s="172"/>
      <c r="O42" s="245"/>
      <c r="P42" s="105"/>
      <c r="Q42" s="108"/>
      <c r="R42" s="109"/>
      <c r="S42" s="110"/>
      <c r="T42" s="107"/>
      <c r="U42" s="129"/>
      <c r="V42" s="129"/>
      <c r="W42" s="129"/>
      <c r="X42" s="129"/>
    </row>
    <row r="43" spans="1:24" s="130" customFormat="1" ht="18.75">
      <c r="A43" s="148"/>
      <c r="B43" s="190" t="s">
        <v>513</v>
      </c>
      <c r="C43" s="105"/>
      <c r="D43" s="248"/>
      <c r="E43" s="105"/>
      <c r="F43" s="105"/>
      <c r="G43" s="171"/>
      <c r="H43" s="167"/>
      <c r="I43" s="171"/>
      <c r="J43" s="171"/>
      <c r="K43" s="164"/>
      <c r="L43" s="171"/>
      <c r="M43" s="171"/>
      <c r="N43" s="172"/>
      <c r="O43" s="245"/>
      <c r="P43" s="105"/>
      <c r="Q43" s="108"/>
      <c r="R43" s="109"/>
      <c r="S43" s="110"/>
      <c r="T43" s="107"/>
      <c r="U43" s="129"/>
      <c r="V43" s="129"/>
      <c r="W43" s="129"/>
      <c r="X43" s="129"/>
    </row>
    <row r="44" spans="1:24" s="130" customFormat="1" ht="5.25" customHeight="1">
      <c r="A44" s="148"/>
      <c r="B44" s="146"/>
      <c r="C44" s="105"/>
      <c r="D44" s="248"/>
      <c r="E44" s="105"/>
      <c r="F44" s="105"/>
      <c r="G44" s="171"/>
      <c r="H44" s="167"/>
      <c r="I44" s="171"/>
      <c r="J44" s="171"/>
      <c r="K44" s="164"/>
      <c r="L44" s="171"/>
      <c r="M44" s="171"/>
      <c r="N44" s="172"/>
      <c r="O44" s="245"/>
      <c r="P44" s="105"/>
      <c r="Q44" s="108"/>
      <c r="R44" s="109"/>
      <c r="S44" s="110"/>
      <c r="T44" s="107"/>
      <c r="U44" s="129"/>
      <c r="V44" s="129"/>
      <c r="W44" s="129"/>
      <c r="X44" s="129"/>
    </row>
    <row r="45" spans="1:24" s="130" customFormat="1" ht="5.25" customHeight="1">
      <c r="A45" s="148"/>
      <c r="B45" s="146"/>
      <c r="C45" s="105"/>
      <c r="D45" s="248"/>
      <c r="E45" s="105"/>
      <c r="F45" s="105"/>
      <c r="G45" s="171"/>
      <c r="H45" s="167"/>
      <c r="I45" s="171"/>
      <c r="J45" s="171"/>
      <c r="K45" s="164"/>
      <c r="L45" s="171"/>
      <c r="M45" s="171"/>
      <c r="N45" s="172"/>
      <c r="O45" s="245"/>
      <c r="P45" s="105"/>
      <c r="Q45" s="108"/>
      <c r="R45" s="109"/>
      <c r="S45" s="110"/>
      <c r="T45" s="107"/>
      <c r="U45" s="129"/>
      <c r="V45" s="129"/>
      <c r="W45" s="129"/>
      <c r="X45" s="129"/>
    </row>
    <row r="46" spans="1:24" s="130" customFormat="1" ht="12.75">
      <c r="A46" s="147"/>
      <c r="B46" s="93" t="s">
        <v>493</v>
      </c>
      <c r="C46" s="94"/>
      <c r="D46" s="197">
        <f>+'Summ (F&amp;P Govn)'!D110</f>
        <v>789570</v>
      </c>
      <c r="E46" s="169">
        <f>+'Summ (F&amp;P Govn)'!F110</f>
        <v>0</v>
      </c>
      <c r="F46" s="169">
        <f>+'Summ (F&amp;P Govn)'!G110</f>
        <v>0</v>
      </c>
      <c r="G46" s="169">
        <f>+'Summ (F&amp;P Govn)'!H110</f>
        <v>789570</v>
      </c>
      <c r="H46" s="164"/>
      <c r="I46" s="169">
        <f>+'Summ (F&amp;P Govn)'!J110</f>
        <v>789570</v>
      </c>
      <c r="J46" s="173">
        <f>-G46+I46</f>
        <v>0</v>
      </c>
      <c r="K46" s="164"/>
      <c r="L46" s="169">
        <f>+'Summ (F&amp;P Govn)'!M110</f>
        <v>789570</v>
      </c>
      <c r="M46" s="173">
        <f>-J46+N46</f>
        <v>0</v>
      </c>
      <c r="N46" s="174">
        <f>-G46+L46</f>
        <v>0</v>
      </c>
      <c r="O46" s="245"/>
      <c r="P46" s="105"/>
      <c r="Q46" s="108"/>
      <c r="R46" s="109"/>
      <c r="S46" s="110"/>
      <c r="T46" s="107"/>
      <c r="U46" s="129"/>
      <c r="V46" s="129"/>
      <c r="W46" s="129"/>
      <c r="X46" s="129"/>
    </row>
    <row r="47" spans="1:24" s="130" customFormat="1" ht="9.75" customHeight="1">
      <c r="A47" s="148"/>
      <c r="B47" s="146"/>
      <c r="C47" s="105"/>
      <c r="D47" s="203"/>
      <c r="E47" s="171"/>
      <c r="F47" s="171"/>
      <c r="G47" s="171"/>
      <c r="H47" s="167"/>
      <c r="I47" s="171"/>
      <c r="J47" s="171"/>
      <c r="K47" s="164"/>
      <c r="L47" s="171"/>
      <c r="M47" s="171"/>
      <c r="N47" s="172"/>
      <c r="O47" s="245"/>
      <c r="P47" s="105"/>
      <c r="Q47" s="108"/>
      <c r="R47" s="109"/>
      <c r="S47" s="110"/>
      <c r="T47" s="107"/>
      <c r="U47" s="129"/>
      <c r="V47" s="129"/>
      <c r="W47" s="129"/>
      <c r="X47" s="129"/>
    </row>
    <row r="48" spans="1:24" s="130" customFormat="1" ht="11.25" customHeight="1">
      <c r="A48" s="148"/>
      <c r="B48" s="93" t="s">
        <v>514</v>
      </c>
      <c r="C48" s="105"/>
      <c r="D48" s="197">
        <f>+'Summ (F&amp;P Govn)'!D115</f>
        <v>789570</v>
      </c>
      <c r="E48" s="169">
        <f>+'Summ (F&amp;P Govn)'!F115</f>
        <v>0</v>
      </c>
      <c r="F48" s="169">
        <f>+'Summ (F&amp;P Govn)'!G115</f>
        <v>0</v>
      </c>
      <c r="G48" s="169">
        <f>+'Summ (F&amp;P Govn)'!H115</f>
        <v>789570</v>
      </c>
      <c r="H48" s="164"/>
      <c r="I48" s="169">
        <f>+'Summ (F&amp;P Govn)'!J115</f>
        <v>789570</v>
      </c>
      <c r="J48" s="169">
        <f>+G48-I48</f>
        <v>0</v>
      </c>
      <c r="K48" s="164"/>
      <c r="L48" s="169">
        <f>+'Summ (F&amp;P Govn)'!M115</f>
        <v>789570</v>
      </c>
      <c r="M48" s="173">
        <f>-J48+N48</f>
        <v>0</v>
      </c>
      <c r="N48" s="170">
        <f>G48-L48</f>
        <v>0</v>
      </c>
      <c r="O48" s="245"/>
      <c r="P48" s="105"/>
      <c r="Q48" s="108"/>
      <c r="R48" s="109"/>
      <c r="S48" s="110"/>
      <c r="T48" s="107"/>
      <c r="U48" s="129"/>
      <c r="V48" s="129"/>
      <c r="W48" s="129"/>
      <c r="X48" s="129"/>
    </row>
    <row r="49" spans="1:24" s="130" customFormat="1" ht="10.5" customHeight="1">
      <c r="A49" s="148"/>
      <c r="B49" s="146"/>
      <c r="C49" s="105"/>
      <c r="D49" s="248"/>
      <c r="E49" s="105"/>
      <c r="F49" s="105"/>
      <c r="G49" s="171"/>
      <c r="H49" s="167"/>
      <c r="I49" s="171"/>
      <c r="J49" s="171"/>
      <c r="K49" s="164"/>
      <c r="L49" s="171"/>
      <c r="M49" s="171"/>
      <c r="N49" s="172"/>
      <c r="O49" s="245"/>
      <c r="P49" s="105"/>
      <c r="Q49" s="108"/>
      <c r="R49" s="109"/>
      <c r="S49" s="110"/>
      <c r="T49" s="107"/>
      <c r="U49" s="129"/>
      <c r="V49" s="129"/>
      <c r="W49" s="129"/>
      <c r="X49" s="129"/>
    </row>
    <row r="50" spans="1:24" s="130" customFormat="1" ht="18.75">
      <c r="A50" s="148"/>
      <c r="B50" s="146" t="s">
        <v>515</v>
      </c>
      <c r="C50" s="105"/>
      <c r="D50" s="204">
        <f>+D46-D48</f>
        <v>0</v>
      </c>
      <c r="E50" s="187">
        <f>+E46-E48</f>
        <v>0</v>
      </c>
      <c r="F50" s="187">
        <f>+F46-F48</f>
        <v>0</v>
      </c>
      <c r="G50" s="187">
        <f>+G46-G48</f>
        <v>0</v>
      </c>
      <c r="H50" s="167"/>
      <c r="I50" s="187">
        <f>+I46-I48</f>
        <v>0</v>
      </c>
      <c r="J50" s="187">
        <f>+J46-J48</f>
        <v>0</v>
      </c>
      <c r="K50" s="164"/>
      <c r="L50" s="187">
        <f>+L46-L48</f>
        <v>0</v>
      </c>
      <c r="M50" s="187">
        <f>+M46+M48</f>
        <v>0</v>
      </c>
      <c r="N50" s="188">
        <f>+N46+N48</f>
        <v>0</v>
      </c>
      <c r="O50" s="245"/>
      <c r="P50" s="105"/>
      <c r="Q50" s="108"/>
      <c r="R50" s="109"/>
      <c r="S50" s="110"/>
      <c r="T50" s="107"/>
      <c r="U50" s="129"/>
      <c r="V50" s="129"/>
      <c r="W50" s="129"/>
      <c r="X50" s="129"/>
    </row>
    <row r="51" spans="1:24" s="130" customFormat="1" ht="12.75">
      <c r="A51" s="148"/>
      <c r="B51" s="105"/>
      <c r="C51" s="105"/>
      <c r="D51" s="248"/>
      <c r="E51" s="105"/>
      <c r="F51" s="105"/>
      <c r="G51" s="166"/>
      <c r="H51" s="164"/>
      <c r="I51" s="166"/>
      <c r="J51" s="166"/>
      <c r="K51" s="164"/>
      <c r="L51" s="166"/>
      <c r="M51" s="166"/>
      <c r="N51" s="168"/>
      <c r="O51" s="245"/>
      <c r="P51" s="105"/>
      <c r="Q51" s="108"/>
      <c r="R51" s="109"/>
      <c r="S51" s="110"/>
      <c r="T51" s="107"/>
      <c r="U51" s="129"/>
      <c r="V51" s="129"/>
      <c r="W51" s="129"/>
      <c r="X51" s="129"/>
    </row>
    <row r="52" spans="1:24" s="130" customFormat="1" ht="19.5" thickBot="1">
      <c r="A52" s="107"/>
      <c r="B52" s="146" t="s">
        <v>519</v>
      </c>
      <c r="C52" s="118"/>
      <c r="D52" s="205">
        <f>+D41+D50</f>
        <v>0</v>
      </c>
      <c r="E52" s="189">
        <f>+E41+E50</f>
        <v>0</v>
      </c>
      <c r="F52" s="189">
        <f>+F41+F50</f>
        <v>0</v>
      </c>
      <c r="G52" s="189">
        <f>+G41+G50</f>
        <v>0</v>
      </c>
      <c r="H52" s="231"/>
      <c r="I52" s="189">
        <f>+I41+I50</f>
        <v>8462.759999999776</v>
      </c>
      <c r="J52" s="189">
        <f>+J41+J50</f>
        <v>8462.759999999907</v>
      </c>
      <c r="K52" s="231"/>
      <c r="L52" s="189">
        <f>+L41+L50</f>
        <v>8979.040000000969</v>
      </c>
      <c r="M52" s="189">
        <f>+M41+M50</f>
        <v>516.2800000002208</v>
      </c>
      <c r="N52" s="249">
        <f>+N41+N50</f>
        <v>8979.040000000126</v>
      </c>
      <c r="O52" s="250"/>
      <c r="P52" s="118"/>
      <c r="Q52" s="115">
        <v>0</v>
      </c>
      <c r="R52" s="109"/>
      <c r="S52" s="110">
        <f>Q52-R52</f>
        <v>0</v>
      </c>
      <c r="T52" s="107"/>
      <c r="U52" s="129"/>
      <c r="V52" s="129"/>
      <c r="W52" s="129"/>
      <c r="X52" s="129"/>
    </row>
    <row r="53" spans="1:24" s="130" customFormat="1" ht="12.75">
      <c r="A53" s="107"/>
      <c r="B53" s="105"/>
      <c r="C53" s="105"/>
      <c r="D53" s="105"/>
      <c r="E53" s="105"/>
      <c r="F53" s="105"/>
      <c r="G53" s="106"/>
      <c r="H53" s="106"/>
      <c r="I53" s="105"/>
      <c r="J53" s="105"/>
      <c r="K53" s="105"/>
      <c r="L53" s="105"/>
      <c r="M53" s="105"/>
      <c r="N53" s="105"/>
      <c r="O53" s="105"/>
      <c r="P53" s="105"/>
      <c r="Q53" s="131"/>
      <c r="R53" s="109"/>
      <c r="S53" s="110"/>
      <c r="T53" s="107"/>
      <c r="U53" s="129"/>
      <c r="V53" s="129"/>
      <c r="W53" s="129"/>
      <c r="X53" s="129"/>
    </row>
    <row r="54" spans="1:24" s="130" customFormat="1" ht="13.5" thickBot="1">
      <c r="A54" s="107"/>
      <c r="B54" s="118"/>
      <c r="C54" s="118"/>
      <c r="D54" s="118"/>
      <c r="E54" s="118"/>
      <c r="F54" s="118"/>
      <c r="G54" s="106"/>
      <c r="H54" s="106"/>
      <c r="I54" s="118"/>
      <c r="J54" s="118"/>
      <c r="K54" s="118"/>
      <c r="L54" s="118"/>
      <c r="M54" s="118"/>
      <c r="N54" s="118"/>
      <c r="O54" s="118"/>
      <c r="P54" s="118"/>
      <c r="Q54" s="153">
        <v>8459630</v>
      </c>
      <c r="R54" s="116" t="e">
        <f>R33+R31+R29+R27+R25+R23+R21+R19+#REF!+#REF!+R13+R11</f>
        <v>#REF!</v>
      </c>
      <c r="S54" s="117" t="e">
        <f>Q54-R54</f>
        <v>#REF!</v>
      </c>
      <c r="T54" s="107"/>
      <c r="U54" s="129"/>
      <c r="V54" s="129"/>
      <c r="W54" s="129"/>
      <c r="X54" s="129"/>
    </row>
    <row r="55" spans="1:24" s="130" customFormat="1" ht="12.75">
      <c r="A55" s="107"/>
      <c r="B55" s="105"/>
      <c r="C55" s="105"/>
      <c r="D55" s="105"/>
      <c r="E55" s="105"/>
      <c r="F55" s="105"/>
      <c r="G55" s="106"/>
      <c r="H55" s="106"/>
      <c r="I55" s="105"/>
      <c r="J55" s="105"/>
      <c r="K55" s="105"/>
      <c r="L55" s="105"/>
      <c r="M55" s="105"/>
      <c r="N55" s="105"/>
      <c r="O55" s="105"/>
      <c r="P55" s="105"/>
      <c r="Q55" s="135"/>
      <c r="R55" s="109">
        <v>13372</v>
      </c>
      <c r="S55" s="110">
        <f>Q55-R55</f>
        <v>-13372</v>
      </c>
      <c r="U55" s="129"/>
      <c r="V55" s="129"/>
      <c r="W55" s="129"/>
      <c r="X55" s="129"/>
    </row>
    <row r="56" spans="1:24" s="130" customFormat="1" ht="13.5" thickBot="1">
      <c r="A56" s="105"/>
      <c r="B56" s="151"/>
      <c r="C56" s="151"/>
      <c r="D56" s="151"/>
      <c r="E56" s="151"/>
      <c r="F56" s="151"/>
      <c r="G56" s="152"/>
      <c r="H56" s="152"/>
      <c r="I56" s="151"/>
      <c r="J56" s="151"/>
      <c r="K56" s="151"/>
      <c r="L56" s="151"/>
      <c r="M56" s="151"/>
      <c r="N56" s="151"/>
      <c r="O56" s="151"/>
      <c r="P56" s="151"/>
      <c r="Q56" s="153" t="s">
        <v>490</v>
      </c>
      <c r="R56" s="116" t="e">
        <f>#REF!-R54+R55</f>
        <v>#REF!</v>
      </c>
      <c r="S56" s="117" t="e">
        <f>Q56-R56</f>
        <v>#VALUE!</v>
      </c>
      <c r="U56" s="129"/>
      <c r="V56" s="129"/>
      <c r="W56" s="129"/>
      <c r="X56" s="129"/>
    </row>
    <row r="57" spans="21:24" ht="12.75">
      <c r="U57" s="136"/>
      <c r="V57" s="136"/>
      <c r="W57" s="136"/>
      <c r="X57" s="136"/>
    </row>
    <row r="58" spans="21:24" ht="12.75">
      <c r="U58" s="136"/>
      <c r="V58" s="136"/>
      <c r="W58" s="136"/>
      <c r="X58" s="136"/>
    </row>
    <row r="59" spans="21:24" ht="12.75">
      <c r="U59" s="136"/>
      <c r="V59" s="136"/>
      <c r="W59" s="136"/>
      <c r="X59" s="136"/>
    </row>
    <row r="60" spans="21:24" ht="12.75">
      <c r="U60" s="136"/>
      <c r="V60" s="136"/>
      <c r="W60" s="136"/>
      <c r="X60" s="136"/>
    </row>
    <row r="61" spans="21:24" ht="12.75">
      <c r="U61" s="136"/>
      <c r="V61" s="136"/>
      <c r="W61" s="136"/>
      <c r="X61" s="136"/>
    </row>
    <row r="62" spans="21:24" ht="12.75">
      <c r="U62" s="136"/>
      <c r="V62" s="136"/>
      <c r="W62" s="136"/>
      <c r="X62" s="136"/>
    </row>
    <row r="63" spans="21:24" ht="12.75">
      <c r="U63" s="136"/>
      <c r="V63" s="136"/>
      <c r="W63" s="136"/>
      <c r="X63" s="136"/>
    </row>
    <row r="64" spans="21:24" ht="12.75">
      <c r="U64" s="136"/>
      <c r="V64" s="136"/>
      <c r="W64" s="136"/>
      <c r="X64" s="136"/>
    </row>
    <row r="65" spans="21:24" ht="12.75">
      <c r="U65" s="136"/>
      <c r="V65" s="136"/>
      <c r="W65" s="136"/>
      <c r="X65" s="136"/>
    </row>
    <row r="66" spans="21:24" ht="12.75">
      <c r="U66" s="136"/>
      <c r="V66" s="136"/>
      <c r="W66" s="136"/>
      <c r="X66" s="136"/>
    </row>
    <row r="67" spans="21:24" ht="12.75">
      <c r="U67" s="136"/>
      <c r="V67" s="136"/>
      <c r="W67" s="136"/>
      <c r="X67" s="136"/>
    </row>
    <row r="68" spans="21:24" ht="12.75">
      <c r="U68" s="136"/>
      <c r="V68" s="136"/>
      <c r="W68" s="136"/>
      <c r="X68" s="136"/>
    </row>
    <row r="69" spans="21:24" ht="12.75">
      <c r="U69" s="136"/>
      <c r="V69" s="136"/>
      <c r="W69" s="136"/>
      <c r="X69" s="136"/>
    </row>
    <row r="70" spans="21:24" ht="12.75">
      <c r="U70" s="136"/>
      <c r="V70" s="136"/>
      <c r="W70" s="136"/>
      <c r="X70" s="136"/>
    </row>
    <row r="71" spans="21:24" ht="12.75">
      <c r="U71" s="136"/>
      <c r="V71" s="136"/>
      <c r="W71" s="136"/>
      <c r="X71" s="136"/>
    </row>
    <row r="72" spans="21:24" ht="12.75">
      <c r="U72" s="136"/>
      <c r="V72" s="136"/>
      <c r="W72" s="136"/>
      <c r="X72" s="136"/>
    </row>
    <row r="73" spans="21:24" ht="12.75">
      <c r="U73" s="136"/>
      <c r="V73" s="136"/>
      <c r="W73" s="136"/>
      <c r="X73" s="136"/>
    </row>
    <row r="74" spans="21:24" ht="12.75">
      <c r="U74" s="136"/>
      <c r="V74" s="136"/>
      <c r="W74" s="136"/>
      <c r="X74" s="136"/>
    </row>
    <row r="75" spans="21:24" ht="12.75">
      <c r="U75" s="136"/>
      <c r="V75" s="136"/>
      <c r="W75" s="136"/>
      <c r="X75" s="136"/>
    </row>
    <row r="76" spans="21:24" ht="12.75">
      <c r="U76" s="136"/>
      <c r="V76" s="136"/>
      <c r="W76" s="136"/>
      <c r="X76" s="136"/>
    </row>
    <row r="77" spans="21:24" ht="12.75">
      <c r="U77" s="136"/>
      <c r="V77" s="136"/>
      <c r="W77" s="136"/>
      <c r="X77" s="136"/>
    </row>
    <row r="78" spans="21:24" ht="12.75">
      <c r="U78" s="136"/>
      <c r="V78" s="136"/>
      <c r="W78" s="136"/>
      <c r="X78" s="136"/>
    </row>
    <row r="79" spans="21:24" ht="12.75">
      <c r="U79" s="136"/>
      <c r="V79" s="136"/>
      <c r="W79" s="136"/>
      <c r="X79" s="136"/>
    </row>
    <row r="80" spans="21:24" ht="12.75">
      <c r="U80" s="136"/>
      <c r="V80" s="136"/>
      <c r="W80" s="136"/>
      <c r="X80" s="136"/>
    </row>
    <row r="81" spans="21:24" ht="12.75">
      <c r="U81" s="136"/>
      <c r="V81" s="136"/>
      <c r="W81" s="136"/>
      <c r="X81" s="136"/>
    </row>
    <row r="82" spans="22:24" ht="12.75">
      <c r="V82" s="136"/>
      <c r="W82" s="136"/>
      <c r="X82" s="136"/>
    </row>
    <row r="83" spans="23:24" ht="12.75">
      <c r="W83" s="136"/>
      <c r="X83" s="136"/>
    </row>
  </sheetData>
  <sheetProtection/>
  <mergeCells count="2">
    <mergeCell ref="I1:L1"/>
    <mergeCell ref="I2:L2"/>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codeName="Sheet8"/>
  <dimension ref="A1:F320"/>
  <sheetViews>
    <sheetView zoomScalePageLayoutView="0" workbookViewId="0" topLeftCell="A220">
      <selection activeCell="D271" sqref="D271"/>
    </sheetView>
  </sheetViews>
  <sheetFormatPr defaultColWidth="9.140625" defaultRowHeight="12.75"/>
  <cols>
    <col min="2" max="2" width="32.57421875" style="0" customWidth="1"/>
  </cols>
  <sheetData>
    <row r="1" spans="1:3" ht="12.75">
      <c r="A1" s="362" t="s">
        <v>32</v>
      </c>
      <c r="B1" s="367" t="s">
        <v>0</v>
      </c>
      <c r="C1" t="s">
        <v>491</v>
      </c>
    </row>
    <row r="2" spans="1:2" ht="12.75">
      <c r="A2" s="373"/>
      <c r="B2" s="374"/>
    </row>
    <row r="3" spans="1:2" ht="12.75">
      <c r="A3" s="373"/>
      <c r="B3" s="374"/>
    </row>
    <row r="4" spans="1:2" ht="12.75">
      <c r="A4" s="373"/>
      <c r="B4" s="374"/>
    </row>
    <row r="5" spans="1:2" ht="12.75">
      <c r="A5" s="373"/>
      <c r="B5" s="374"/>
    </row>
    <row r="6" spans="1:2" ht="12.75">
      <c r="A6" s="373"/>
      <c r="B6" s="374"/>
    </row>
    <row r="7" spans="1:2" ht="12.75">
      <c r="A7" s="373"/>
      <c r="B7" s="374"/>
    </row>
    <row r="8" spans="1:2" ht="12.75">
      <c r="A8" s="373"/>
      <c r="B8" s="374"/>
    </row>
    <row r="9" spans="1:2" ht="12.75">
      <c r="A9" s="373"/>
      <c r="B9" s="374"/>
    </row>
    <row r="10" spans="1:2" ht="12.75">
      <c r="A10" s="373"/>
      <c r="B10" s="374"/>
    </row>
    <row r="11" spans="1:2" ht="13.5" thickBot="1">
      <c r="A11" s="363"/>
      <c r="B11" s="368"/>
    </row>
    <row r="12" spans="1:5" ht="12.75">
      <c r="A12" s="290">
        <v>101</v>
      </c>
      <c r="B12" s="290" t="s">
        <v>64</v>
      </c>
      <c r="C12" s="139">
        <v>1300</v>
      </c>
      <c r="D12" s="138">
        <f>IF(A12="","",(COUNTIF(Workings!A:A,A12)))</f>
        <v>1</v>
      </c>
      <c r="E12" t="str">
        <f>IF(C12="","",VLOOKUP(C12,'Summ (F&amp;P Govn)'!A:O,2,FALSE))</f>
        <v>Administrative Staff</v>
      </c>
    </row>
    <row r="13" spans="1:5" ht="12.75">
      <c r="A13" s="290">
        <v>102</v>
      </c>
      <c r="B13" s="290" t="s">
        <v>65</v>
      </c>
      <c r="C13" s="139">
        <v>1320</v>
      </c>
      <c r="D13" s="138">
        <f>IF(A13="","",(COUNTIF(Workings!A:A,A13)))</f>
        <v>1</v>
      </c>
      <c r="E13" t="str">
        <f>IF(C13="","",VLOOKUP(C13,'Summ (F&amp;P Govn)'!A:O,2,FALSE))</f>
        <v>Catering Staff</v>
      </c>
    </row>
    <row r="14" spans="1:5" ht="12.75">
      <c r="A14" s="290">
        <v>103</v>
      </c>
      <c r="B14" s="290" t="s">
        <v>66</v>
      </c>
      <c r="C14" s="139">
        <v>1220</v>
      </c>
      <c r="D14" s="138">
        <f>IF(A14="","",(COUNTIF(Workings!A:A,A14)))</f>
        <v>1</v>
      </c>
      <c r="E14" t="str">
        <f>IF(C14="","",VLOOKUP(C14,'Summ (F&amp;P Govn)'!A:O,2,FALSE))</f>
        <v>Educational Support Staff</v>
      </c>
    </row>
    <row r="15" spans="1:5" ht="12.75">
      <c r="A15" s="290">
        <v>104</v>
      </c>
      <c r="B15" s="290" t="s">
        <v>67</v>
      </c>
      <c r="C15" s="139">
        <v>1320</v>
      </c>
      <c r="D15" s="138">
        <f>IF(A15="","",(COUNTIF(Workings!A:A,A15)))</f>
        <v>1</v>
      </c>
      <c r="E15" t="str">
        <f>IF(C15="","",VLOOKUP(C15,'Summ (F&amp;P Govn)'!A:O,2,FALSE))</f>
        <v>Catering Staff</v>
      </c>
    </row>
    <row r="16" spans="1:5" ht="12.75">
      <c r="A16" s="290">
        <v>105</v>
      </c>
      <c r="B16" s="290" t="s">
        <v>68</v>
      </c>
      <c r="C16" s="139">
        <v>1310</v>
      </c>
      <c r="D16" s="138">
        <f>IF(A16="","",(COUNTIF(Workings!A:A,A16)))</f>
        <v>1</v>
      </c>
      <c r="E16" t="str">
        <f>IF(C16="","",VLOOKUP(C16,'Summ (F&amp;P Govn)'!A:O,2,FALSE))</f>
        <v>Premises Staff</v>
      </c>
    </row>
    <row r="17" spans="1:5" ht="12.75">
      <c r="A17" s="290">
        <v>106</v>
      </c>
      <c r="B17" s="290" t="s">
        <v>69</v>
      </c>
      <c r="C17" s="139">
        <v>1220</v>
      </c>
      <c r="D17" s="138">
        <f>IF(A17="","",(COUNTIF(Workings!A:A,A17)))</f>
        <v>1</v>
      </c>
      <c r="E17" t="str">
        <f>IF(C17="","",VLOOKUP(C17,'Summ (F&amp;P Govn)'!A:O,2,FALSE))</f>
        <v>Educational Support Staff</v>
      </c>
    </row>
    <row r="18" spans="1:5" ht="12.75">
      <c r="A18" s="290">
        <v>107</v>
      </c>
      <c r="B18" s="290" t="s">
        <v>70</v>
      </c>
      <c r="C18" s="139">
        <v>1000</v>
      </c>
      <c r="D18" s="138">
        <f>IF(A18="","",(COUNTIF(Workings!A:A,A18)))</f>
        <v>1</v>
      </c>
      <c r="E18" t="str">
        <f>IF(C18="","",VLOOKUP(C18,'Summ (F&amp;P Govn)'!A:O,2,FALSE))</f>
        <v>Teachers</v>
      </c>
    </row>
    <row r="19" spans="1:5" ht="12.75">
      <c r="A19" s="290">
        <v>108</v>
      </c>
      <c r="B19" s="290" t="s">
        <v>71</v>
      </c>
      <c r="C19" s="139">
        <v>1000</v>
      </c>
      <c r="D19" s="138">
        <f>IF(A19="","",(COUNTIF(Workings!A:A,A19)))</f>
        <v>1</v>
      </c>
      <c r="E19" t="str">
        <f>IF(C19="","",VLOOKUP(C19,'Summ (F&amp;P Govn)'!A:O,2,FALSE))</f>
        <v>Teachers</v>
      </c>
    </row>
    <row r="20" spans="1:5" ht="12.75">
      <c r="A20" s="290">
        <v>109</v>
      </c>
      <c r="B20" s="290" t="s">
        <v>72</v>
      </c>
      <c r="C20" s="139">
        <v>1000</v>
      </c>
      <c r="D20" s="138">
        <f>IF(A20="","",(COUNTIF(Workings!A:A,A20)))</f>
        <v>0</v>
      </c>
      <c r="E20" t="str">
        <f>IF(C20="","",VLOOKUP(C20,'Summ (F&amp;P Govn)'!A:O,2,FALSE))</f>
        <v>Teachers</v>
      </c>
    </row>
    <row r="21" spans="1:5" ht="12.75">
      <c r="A21" s="290">
        <v>112</v>
      </c>
      <c r="B21" s="290" t="s">
        <v>73</v>
      </c>
      <c r="C21" s="139">
        <v>1000</v>
      </c>
      <c r="D21" s="138">
        <f>IF(A21="","",(COUNTIF(Workings!A:A,A21)))</f>
        <v>1</v>
      </c>
      <c r="E21" t="str">
        <f>IF(C21="","",VLOOKUP(C21,'Summ (F&amp;P Govn)'!A:O,2,FALSE))</f>
        <v>Teachers</v>
      </c>
    </row>
    <row r="22" spans="1:5" ht="12.75">
      <c r="A22" s="290">
        <v>113</v>
      </c>
      <c r="B22" s="290" t="s">
        <v>74</v>
      </c>
      <c r="C22" s="139">
        <v>1000</v>
      </c>
      <c r="D22" s="138">
        <f>IF(A22="","",(COUNTIF(Workings!A:A,A22)))</f>
        <v>1</v>
      </c>
      <c r="E22" t="str">
        <f>IF(C22="","",VLOOKUP(C22,'Summ (F&amp;P Govn)'!A:O,2,FALSE))</f>
        <v>Teachers</v>
      </c>
    </row>
    <row r="23" spans="1:5" ht="12.75">
      <c r="A23" s="290">
        <v>114</v>
      </c>
      <c r="B23" s="290" t="s">
        <v>75</v>
      </c>
      <c r="C23" s="139">
        <v>1220</v>
      </c>
      <c r="D23" s="138">
        <f>IF(A23="","",(COUNTIF(Workings!A:A,A23)))</f>
        <v>1</v>
      </c>
      <c r="E23" t="str">
        <f>IF(C23="","",VLOOKUP(C23,'Summ (F&amp;P Govn)'!A:O,2,FALSE))</f>
        <v>Educational Support Staff</v>
      </c>
    </row>
    <row r="24" spans="1:5" ht="12.75">
      <c r="A24" s="290">
        <v>115</v>
      </c>
      <c r="B24" s="290" t="s">
        <v>76</v>
      </c>
      <c r="C24" s="139">
        <v>1220</v>
      </c>
      <c r="D24" s="138">
        <f>IF(A24="","",(COUNTIF(Workings!A:A,A24)))</f>
        <v>1</v>
      </c>
      <c r="E24" t="str">
        <f>IF(C24="","",VLOOKUP(C24,'Summ (F&amp;P Govn)'!A:O,2,FALSE))</f>
        <v>Educational Support Staff</v>
      </c>
    </row>
    <row r="25" spans="1:5" ht="12.75">
      <c r="A25" s="290">
        <v>116</v>
      </c>
      <c r="B25" s="290" t="s">
        <v>77</v>
      </c>
      <c r="C25" s="139">
        <v>1230</v>
      </c>
      <c r="D25" s="138">
        <f>IF(A25="","",(COUNTIF(Workings!A:A,A25)))</f>
        <v>1</v>
      </c>
      <c r="E25" t="str">
        <f>IF(C25="","",VLOOKUP(C25,'Summ (F&amp;P Govn)'!A:O,2,FALSE))</f>
        <v>Technicians</v>
      </c>
    </row>
    <row r="26" spans="1:5" ht="12.75">
      <c r="A26" s="290">
        <v>117</v>
      </c>
      <c r="B26" s="290" t="s">
        <v>78</v>
      </c>
      <c r="C26" s="139">
        <v>1220</v>
      </c>
      <c r="D26" s="138">
        <f>IF(A26="","",(COUNTIF(Workings!A:A,A26)))</f>
        <v>1</v>
      </c>
      <c r="E26" t="str">
        <f>IF(C26="","",VLOOKUP(C26,'Summ (F&amp;P Govn)'!A:O,2,FALSE))</f>
        <v>Educational Support Staff</v>
      </c>
    </row>
    <row r="27" spans="1:5" ht="12.75">
      <c r="A27" s="290">
        <v>118</v>
      </c>
      <c r="B27" s="290" t="s">
        <v>79</v>
      </c>
      <c r="C27" s="139">
        <v>1230</v>
      </c>
      <c r="D27" s="138">
        <f>IF(A27="","",(COUNTIF(Workings!A:A,A27)))</f>
        <v>1</v>
      </c>
      <c r="E27" t="str">
        <f>IF(C27="","",VLOOKUP(C27,'Summ (F&amp;P Govn)'!A:O,2,FALSE))</f>
        <v>Technicians</v>
      </c>
    </row>
    <row r="28" spans="1:5" ht="12.75">
      <c r="A28" s="290">
        <v>120</v>
      </c>
      <c r="B28" s="290" t="s">
        <v>80</v>
      </c>
      <c r="C28" s="139">
        <v>1230</v>
      </c>
      <c r="D28" s="138">
        <f>IF(A28="","",(COUNTIF(Workings!A:A,A28)))</f>
        <v>1</v>
      </c>
      <c r="E28" t="str">
        <f>IF(C28="","",VLOOKUP(C28,'Summ (F&amp;P Govn)'!A:O,2,FALSE))</f>
        <v>Technicians</v>
      </c>
    </row>
    <row r="29" spans="1:5" ht="12.75">
      <c r="A29" s="290">
        <v>121</v>
      </c>
      <c r="B29" s="290" t="s">
        <v>81</v>
      </c>
      <c r="C29" s="139">
        <v>1220</v>
      </c>
      <c r="D29" s="138">
        <f>IF(A29="","",(COUNTIF(Workings!A:A,A29)))</f>
        <v>1</v>
      </c>
      <c r="E29" t="str">
        <f>IF(C29="","",VLOOKUP(C29,'Summ (F&amp;P Govn)'!A:O,2,FALSE))</f>
        <v>Educational Support Staff</v>
      </c>
    </row>
    <row r="30" spans="1:5" ht="12.75">
      <c r="A30" s="292">
        <v>122</v>
      </c>
      <c r="B30" s="292" t="s">
        <v>82</v>
      </c>
      <c r="C30" s="139">
        <v>1220</v>
      </c>
      <c r="D30" s="138">
        <f>IF(A30="","",(COUNTIF(Workings!A:A,A30)))</f>
        <v>1</v>
      </c>
      <c r="E30" t="str">
        <f>IF(C30="","",VLOOKUP(C30,'Summ (F&amp;P Govn)'!A:O,2,FALSE))</f>
        <v>Educational Support Staff</v>
      </c>
    </row>
    <row r="31" spans="1:5" ht="12.75">
      <c r="A31" s="290">
        <v>150</v>
      </c>
      <c r="B31" s="290" t="s">
        <v>83</v>
      </c>
      <c r="C31" s="139">
        <v>1200</v>
      </c>
      <c r="D31" s="138">
        <f>IF(A31="","",(COUNTIF(Workings!A:A,A31)))</f>
        <v>1</v>
      </c>
      <c r="E31" t="str">
        <f>IF(C31="","",VLOOKUP(C31,'Summ (F&amp;P Govn)'!A:O,2,FALSE))</f>
        <v>Supply Teachers</v>
      </c>
    </row>
    <row r="32" spans="1:5" ht="12.75">
      <c r="A32" s="290">
        <v>151</v>
      </c>
      <c r="B32" s="290" t="s">
        <v>84</v>
      </c>
      <c r="C32" s="139">
        <v>2200</v>
      </c>
      <c r="D32" s="138">
        <f>IF(A32="","",(COUNTIF(Workings!A:A,A32)))</f>
        <v>1</v>
      </c>
      <c r="E32" t="str">
        <f>IF(C32="","",VLOOKUP(C32,'Summ (F&amp;P Govn)'!A:O,2,FALSE))</f>
        <v>Other Employees Expenses</v>
      </c>
    </row>
    <row r="33" spans="1:5" ht="12.75">
      <c r="A33" s="290">
        <v>153</v>
      </c>
      <c r="B33" s="290" t="s">
        <v>85</v>
      </c>
      <c r="C33" s="139">
        <v>5300</v>
      </c>
      <c r="D33" s="138">
        <f>IF(A33="","",(COUNTIF(Workings!A:A,A33)))</f>
        <v>0</v>
      </c>
      <c r="E33" t="str">
        <f>IF(C33="","",VLOOKUP(C33,'Summ (F&amp;P Govn)'!A:O,2,FALSE))</f>
        <v>Other Income</v>
      </c>
    </row>
    <row r="34" spans="1:5" ht="12.75">
      <c r="A34" s="290">
        <v>158</v>
      </c>
      <c r="B34" s="290" t="s">
        <v>86</v>
      </c>
      <c r="C34" s="139">
        <v>1240</v>
      </c>
      <c r="D34" s="138">
        <f>IF(A34="","",(COUNTIF(Workings!A:A,A34)))</f>
        <v>1</v>
      </c>
      <c r="E34" t="str">
        <f>IF(C34="","",VLOOKUP(C34,'Summ (F&amp;P Govn)'!A:O,2,FALSE))</f>
        <v>LGPS deficit</v>
      </c>
    </row>
    <row r="35" spans="1:5" ht="12.75">
      <c r="A35" s="290">
        <v>200</v>
      </c>
      <c r="B35" s="290" t="s">
        <v>87</v>
      </c>
      <c r="C35" s="139">
        <v>5100</v>
      </c>
      <c r="D35" s="138">
        <f>IF(A35="","",(COUNTIF(Workings!A:A,A35)))</f>
        <v>1</v>
      </c>
      <c r="E35" t="str">
        <f>IF(C35="","",VLOOKUP(C35,'Summ (F&amp;P Govn)'!A:O,2,FALSE))</f>
        <v>GAG School Budget</v>
      </c>
    </row>
    <row r="36" spans="1:5" ht="12.75">
      <c r="A36" s="290">
        <v>201</v>
      </c>
      <c r="B36" s="290" t="s">
        <v>88</v>
      </c>
      <c r="C36" s="139">
        <v>5300</v>
      </c>
      <c r="D36" s="138">
        <f>IF(A36="","",(COUNTIF(Workings!A:A,A36)))</f>
        <v>1</v>
      </c>
      <c r="E36" t="str">
        <f>IF(C36="","",VLOOKUP(C36,'Summ (F&amp;P Govn)'!A:O,2,FALSE))</f>
        <v>Other Income</v>
      </c>
    </row>
    <row r="37" spans="1:5" ht="12.75">
      <c r="A37" s="290">
        <v>202</v>
      </c>
      <c r="B37" s="290" t="s">
        <v>89</v>
      </c>
      <c r="C37" s="139">
        <v>5200</v>
      </c>
      <c r="D37" s="138">
        <f>IF(A37="","",(COUNTIF(Workings!A:A,A37)))</f>
        <v>1</v>
      </c>
      <c r="E37" t="str">
        <f>IF(C37="","",VLOOKUP(C37,'Summ (F&amp;P Govn)'!A:O,2,FALSE))</f>
        <v>Brought Forward</v>
      </c>
    </row>
    <row r="38" spans="1:5" ht="12.75">
      <c r="A38" s="290">
        <v>205</v>
      </c>
      <c r="B38" s="290" t="s">
        <v>90</v>
      </c>
      <c r="C38" s="139">
        <v>6200</v>
      </c>
      <c r="D38" s="138">
        <f>IF(A38="","",(COUNTIF(Workings!A:A,A38)))</f>
        <v>0</v>
      </c>
      <c r="E38" t="str">
        <f>IF(C38="","",VLOOKUP(C38,'Summ (F&amp;P Govn)'!A:O,2,FALSE))</f>
        <v>Capital Income</v>
      </c>
    </row>
    <row r="39" spans="1:5" ht="12.75">
      <c r="A39" s="290" t="s">
        <v>91</v>
      </c>
      <c r="B39" s="290" t="s">
        <v>92</v>
      </c>
      <c r="C39" s="139">
        <v>9100</v>
      </c>
      <c r="D39" s="138">
        <f>IF(A39="","",(COUNTIF(Workings!A:A,A39)))</f>
        <v>0</v>
      </c>
      <c r="E39" t="str">
        <f>IF(C39="","",VLOOKUP(C39,'Summ (F&amp;P Govn)'!A:O,2,FALSE))</f>
        <v>Capital exp1</v>
      </c>
    </row>
    <row r="40" spans="1:5" ht="12.75">
      <c r="A40" s="290">
        <v>217</v>
      </c>
      <c r="B40" s="290" t="s">
        <v>93</v>
      </c>
      <c r="C40" s="139">
        <v>5300</v>
      </c>
      <c r="D40" s="138">
        <f>IF(A40="","",(COUNTIF(Workings!A:A,A40)))</f>
        <v>1</v>
      </c>
      <c r="E40" t="str">
        <f>IF(C40="","",VLOOKUP(C40,'Summ (F&amp;P Govn)'!A:O,2,FALSE))</f>
        <v>Other Income</v>
      </c>
    </row>
    <row r="41" spans="1:5" ht="12.75">
      <c r="A41" s="290" t="s">
        <v>94</v>
      </c>
      <c r="B41" s="290" t="s">
        <v>95</v>
      </c>
      <c r="C41" s="139">
        <v>9900</v>
      </c>
      <c r="D41" s="138">
        <f>IF(A41="","",(COUNTIF(Workings!A:A,A41)))</f>
        <v>0</v>
      </c>
      <c r="E41" t="str">
        <f>IF(C41="","",VLOOKUP(C41,'Summ (F&amp;P Govn)'!A:O,2,FALSE))</f>
        <v>Misc unallocated Control</v>
      </c>
    </row>
    <row r="42" spans="1:5" ht="12.75">
      <c r="A42" s="290">
        <v>250</v>
      </c>
      <c r="B42" s="290" t="s">
        <v>96</v>
      </c>
      <c r="C42" s="139">
        <v>6200</v>
      </c>
      <c r="D42" s="138">
        <f>IF(A42="","",(COUNTIF(Workings!A:A,A42)))</f>
        <v>1</v>
      </c>
      <c r="E42" t="str">
        <f>IF(C42="","",VLOOKUP(C42,'Summ (F&amp;P Govn)'!A:O,2,FALSE))</f>
        <v>Capital Income</v>
      </c>
    </row>
    <row r="43" spans="1:5" ht="12.75">
      <c r="A43" s="290">
        <v>254</v>
      </c>
      <c r="B43" s="290" t="s">
        <v>97</v>
      </c>
      <c r="C43" s="139">
        <v>6200</v>
      </c>
      <c r="D43" s="138">
        <f>IF(A43="","",(COUNTIF(Workings!A:A,A43)))</f>
        <v>1</v>
      </c>
      <c r="E43" t="str">
        <f>IF(C43="","",VLOOKUP(C43,'Summ (F&amp;P Govn)'!A:O,2,FALSE))</f>
        <v>Capital Income</v>
      </c>
    </row>
    <row r="44" spans="1:5" ht="12.75">
      <c r="A44" s="292">
        <v>300</v>
      </c>
      <c r="B44" s="292" t="s">
        <v>98</v>
      </c>
      <c r="C44" s="139">
        <v>3200</v>
      </c>
      <c r="D44" s="138">
        <f>IF(A44="","",(COUNTIF(Workings!A:A,A44)))</f>
        <v>1</v>
      </c>
      <c r="E44" t="str">
        <f>IF(C44="","",VLOOKUP(C44,'Summ (F&amp;P Govn)'!A:O,2,FALSE))</f>
        <v>General Contingency  2012/13</v>
      </c>
    </row>
    <row r="45" spans="1:5" ht="12.75">
      <c r="A45" s="292">
        <v>301</v>
      </c>
      <c r="B45" s="292" t="s">
        <v>99</v>
      </c>
      <c r="C45" s="139">
        <v>1600</v>
      </c>
      <c r="D45" s="138">
        <f>IF(A45="","",(COUNTIF(Workings!A:A,A45)))</f>
        <v>1</v>
      </c>
      <c r="E45" t="str">
        <f>IF(C45="","",VLOOKUP(C45,'Summ (F&amp;P Govn)'!A:O,2,FALSE))</f>
        <v>Faculties </v>
      </c>
    </row>
    <row r="46" spans="1:5" ht="12.75">
      <c r="A46" s="290">
        <v>303</v>
      </c>
      <c r="B46" s="290" t="s">
        <v>100</v>
      </c>
      <c r="C46" s="139">
        <v>1600</v>
      </c>
      <c r="D46" s="138">
        <f>IF(A46="","",(COUNTIF(Workings!A:A,A46)))</f>
        <v>1</v>
      </c>
      <c r="E46" t="str">
        <f>IF(C46="","",VLOOKUP(C46,'Summ (F&amp;P Govn)'!A:O,2,FALSE))</f>
        <v>Faculties </v>
      </c>
    </row>
    <row r="47" spans="1:5" ht="12.75">
      <c r="A47" s="290" t="s">
        <v>101</v>
      </c>
      <c r="B47" s="290" t="s">
        <v>102</v>
      </c>
      <c r="C47" s="139">
        <v>1600</v>
      </c>
      <c r="D47" s="138">
        <f>IF(A47="","",(COUNTIF(Workings!A:A,A47)))</f>
        <v>1</v>
      </c>
      <c r="E47" t="str">
        <f>IF(C47="","",VLOOKUP(C47,'Summ (F&amp;P Govn)'!A:O,2,FALSE))</f>
        <v>Faculties </v>
      </c>
    </row>
    <row r="48" spans="1:5" ht="12.75">
      <c r="A48" s="290">
        <v>304</v>
      </c>
      <c r="B48" s="290" t="s">
        <v>103</v>
      </c>
      <c r="C48" s="139">
        <v>1600</v>
      </c>
      <c r="D48" s="138">
        <f>IF(A48="","",(COUNTIF(Workings!A:A,A48)))</f>
        <v>1</v>
      </c>
      <c r="E48" t="str">
        <f>IF(C48="","",VLOOKUP(C48,'Summ (F&amp;P Govn)'!A:O,2,FALSE))</f>
        <v>Faculties </v>
      </c>
    </row>
    <row r="49" spans="1:5" ht="12.75">
      <c r="A49" s="290" t="s">
        <v>104</v>
      </c>
      <c r="B49" s="290" t="s">
        <v>105</v>
      </c>
      <c r="C49" s="139">
        <v>1600</v>
      </c>
      <c r="D49" s="138">
        <f>IF(A49="","",(COUNTIF(Workings!A:A,A49)))</f>
        <v>1</v>
      </c>
      <c r="E49" t="str">
        <f>IF(C49="","",VLOOKUP(C49,'Summ (F&amp;P Govn)'!A:O,2,FALSE))</f>
        <v>Faculties </v>
      </c>
    </row>
    <row r="50" spans="1:5" ht="12.75">
      <c r="A50" s="290">
        <v>306</v>
      </c>
      <c r="B50" s="290" t="s">
        <v>106</v>
      </c>
      <c r="C50" s="139">
        <v>1600</v>
      </c>
      <c r="D50" s="138">
        <f>IF(A50="","",(COUNTIF(Workings!A:A,A50)))</f>
        <v>1</v>
      </c>
      <c r="E50" t="str">
        <f>IF(C50="","",VLOOKUP(C50,'Summ (F&amp;P Govn)'!A:O,2,FALSE))</f>
        <v>Faculties </v>
      </c>
    </row>
    <row r="51" spans="1:5" ht="12.75">
      <c r="A51" s="290">
        <v>307</v>
      </c>
      <c r="B51" s="290" t="s">
        <v>107</v>
      </c>
      <c r="C51" s="139">
        <v>1600</v>
      </c>
      <c r="D51" s="138">
        <f>IF(A51="","",(COUNTIF(Workings!A:A,A51)))</f>
        <v>1</v>
      </c>
      <c r="E51" t="str">
        <f>IF(C51="","",VLOOKUP(C51,'Summ (F&amp;P Govn)'!A:O,2,FALSE))</f>
        <v>Faculties </v>
      </c>
    </row>
    <row r="52" spans="1:5" ht="12.75">
      <c r="A52" s="290">
        <v>308</v>
      </c>
      <c r="B52" s="290" t="s">
        <v>108</v>
      </c>
      <c r="C52" s="139">
        <v>1600</v>
      </c>
      <c r="D52" s="138">
        <f>IF(A52="","",(COUNTIF(Workings!A:A,A52)))</f>
        <v>1</v>
      </c>
      <c r="E52" t="str">
        <f>IF(C52="","",VLOOKUP(C52,'Summ (F&amp;P Govn)'!A:O,2,FALSE))</f>
        <v>Faculties </v>
      </c>
    </row>
    <row r="53" spans="1:5" ht="12.75">
      <c r="A53" s="290">
        <v>309</v>
      </c>
      <c r="B53" s="290" t="s">
        <v>629</v>
      </c>
      <c r="C53" s="139">
        <v>1600</v>
      </c>
      <c r="D53" s="138">
        <f>IF(A53="","",(COUNTIF(Workings!A:A,A53)))</f>
        <v>1</v>
      </c>
      <c r="E53" t="str">
        <f>IF(C53="","",VLOOKUP(C53,'Summ (F&amp;P Govn)'!A:O,2,FALSE))</f>
        <v>Faculties </v>
      </c>
    </row>
    <row r="54" spans="1:5" ht="12.75">
      <c r="A54" s="290">
        <v>310</v>
      </c>
      <c r="B54" s="290" t="s">
        <v>110</v>
      </c>
      <c r="C54" s="139">
        <v>9900</v>
      </c>
      <c r="D54" s="138">
        <f>IF(A54="","",(COUNTIF(Workings!A:A,A54)))</f>
        <v>0</v>
      </c>
      <c r="E54" t="str">
        <f>IF(C54="","",VLOOKUP(C54,'Summ (F&amp;P Govn)'!A:O,2,FALSE))</f>
        <v>Misc unallocated Control</v>
      </c>
    </row>
    <row r="55" spans="1:5" ht="12.75">
      <c r="A55" s="290">
        <v>312</v>
      </c>
      <c r="B55" s="290" t="s">
        <v>111</v>
      </c>
      <c r="C55" s="139">
        <v>1600</v>
      </c>
      <c r="D55" s="138">
        <f>IF(A55="","",(COUNTIF(Workings!A:A,A55)))</f>
        <v>1</v>
      </c>
      <c r="E55" t="str">
        <f>IF(C55="","",VLOOKUP(C55,'Summ (F&amp;P Govn)'!A:O,2,FALSE))</f>
        <v>Faculties </v>
      </c>
    </row>
    <row r="56" spans="1:5" ht="12.75">
      <c r="A56" s="290">
        <v>313</v>
      </c>
      <c r="B56" s="290" t="s">
        <v>112</v>
      </c>
      <c r="C56" s="139">
        <v>1600</v>
      </c>
      <c r="D56" s="138">
        <f>IF(A56="","",(COUNTIF(Workings!A:A,A56)))</f>
        <v>1</v>
      </c>
      <c r="E56" t="str">
        <f>IF(C56="","",VLOOKUP(C56,'Summ (F&amp;P Govn)'!A:O,2,FALSE))</f>
        <v>Faculties </v>
      </c>
    </row>
    <row r="57" spans="1:5" ht="12.75">
      <c r="A57" s="290">
        <v>314</v>
      </c>
      <c r="B57" s="290" t="s">
        <v>113</v>
      </c>
      <c r="C57" s="139">
        <v>1600</v>
      </c>
      <c r="D57" s="138">
        <f>IF(A57="","",(COUNTIF(Workings!A:A,A57)))</f>
        <v>1</v>
      </c>
      <c r="E57" t="str">
        <f>IF(C57="","",VLOOKUP(C57,'Summ (F&amp;P Govn)'!A:O,2,FALSE))</f>
        <v>Faculties </v>
      </c>
    </row>
    <row r="58" spans="1:5" ht="12.75">
      <c r="A58" s="290">
        <v>315</v>
      </c>
      <c r="B58" s="290" t="s">
        <v>114</v>
      </c>
      <c r="C58" s="139">
        <v>1600</v>
      </c>
      <c r="D58" s="138">
        <f>IF(A58="","",(COUNTIF(Workings!A:A,A58)))</f>
        <v>0</v>
      </c>
      <c r="E58" t="str">
        <f>IF(C58="","",VLOOKUP(C58,'Summ (F&amp;P Govn)'!A:O,2,FALSE))</f>
        <v>Faculties </v>
      </c>
    </row>
    <row r="59" spans="1:5" ht="12.75">
      <c r="A59" s="290" t="s">
        <v>115</v>
      </c>
      <c r="B59" s="290" t="s">
        <v>116</v>
      </c>
      <c r="C59" s="139">
        <v>9900</v>
      </c>
      <c r="D59" s="138">
        <f>IF(A59="","",(COUNTIF(Workings!A:A,A59)))</f>
        <v>0</v>
      </c>
      <c r="E59" t="str">
        <f>IF(C59="","",VLOOKUP(C59,'Summ (F&amp;P Govn)'!A:O,2,FALSE))</f>
        <v>Misc unallocated Control</v>
      </c>
    </row>
    <row r="60" spans="1:5" ht="12.75">
      <c r="A60" s="290">
        <v>316</v>
      </c>
      <c r="B60" s="290" t="s">
        <v>117</v>
      </c>
      <c r="C60" s="139">
        <v>1600</v>
      </c>
      <c r="D60" s="138">
        <f>IF(A60="","",(COUNTIF(Workings!A:A,A60)))</f>
        <v>1</v>
      </c>
      <c r="E60" t="str">
        <f>IF(C60="","",VLOOKUP(C60,'Summ (F&amp;P Govn)'!A:O,2,FALSE))</f>
        <v>Faculties </v>
      </c>
    </row>
    <row r="61" spans="1:5" ht="12.75">
      <c r="A61" s="290">
        <v>317</v>
      </c>
      <c r="B61" s="290" t="s">
        <v>118</v>
      </c>
      <c r="C61" s="139">
        <v>1600</v>
      </c>
      <c r="D61" s="138">
        <f>IF(A61="","",(COUNTIF(Workings!A:A,A61)))</f>
        <v>1</v>
      </c>
      <c r="E61" t="str">
        <f>IF(C61="","",VLOOKUP(C61,'Summ (F&amp;P Govn)'!A:O,2,FALSE))</f>
        <v>Faculties </v>
      </c>
    </row>
    <row r="62" spans="1:5" ht="12.75">
      <c r="A62" s="290">
        <v>318</v>
      </c>
      <c r="B62" s="290" t="s">
        <v>119</v>
      </c>
      <c r="C62" s="139">
        <v>1600</v>
      </c>
      <c r="D62" s="138">
        <f>IF(A62="","",(COUNTIF(Workings!A:A,A62)))</f>
        <v>1</v>
      </c>
      <c r="E62" t="str">
        <f>IF(C62="","",VLOOKUP(C62,'Summ (F&amp;P Govn)'!A:O,2,FALSE))</f>
        <v>Faculties </v>
      </c>
    </row>
    <row r="63" spans="1:5" ht="12.75">
      <c r="A63" s="290">
        <v>319</v>
      </c>
      <c r="B63" s="290" t="s">
        <v>120</v>
      </c>
      <c r="C63" s="139">
        <v>1600</v>
      </c>
      <c r="D63" s="138">
        <f>IF(A63="","",(COUNTIF(Workings!A:A,A63)))</f>
        <v>1</v>
      </c>
      <c r="E63" t="str">
        <f>IF(C63="","",VLOOKUP(C63,'Summ (F&amp;P Govn)'!A:O,2,FALSE))</f>
        <v>Faculties </v>
      </c>
    </row>
    <row r="64" spans="1:5" ht="12.75">
      <c r="A64" s="290">
        <v>320</v>
      </c>
      <c r="B64" s="290" t="s">
        <v>121</v>
      </c>
      <c r="C64" s="139">
        <v>1600</v>
      </c>
      <c r="D64" s="138">
        <f>IF(A64="","",(COUNTIF(Workings!A:A,A64)))</f>
        <v>1</v>
      </c>
      <c r="E64" t="str">
        <f>IF(C64="","",VLOOKUP(C64,'Summ (F&amp;P Govn)'!A:O,2,FALSE))</f>
        <v>Faculties </v>
      </c>
    </row>
    <row r="65" spans="1:5" ht="12.75">
      <c r="A65" s="290">
        <v>322</v>
      </c>
      <c r="B65" s="290" t="s">
        <v>122</v>
      </c>
      <c r="C65" s="139">
        <v>1600</v>
      </c>
      <c r="D65" s="138">
        <f>IF(A65="","",(COUNTIF(Workings!A:A,A65)))</f>
        <v>1</v>
      </c>
      <c r="E65" t="str">
        <f>IF(C65="","",VLOOKUP(C65,'Summ (F&amp;P Govn)'!A:O,2,FALSE))</f>
        <v>Faculties </v>
      </c>
    </row>
    <row r="66" spans="1:5" ht="12.75">
      <c r="A66" s="290">
        <v>324</v>
      </c>
      <c r="B66" s="290" t="s">
        <v>123</v>
      </c>
      <c r="C66" s="139">
        <v>1600</v>
      </c>
      <c r="D66" s="138">
        <f>IF(A66="","",(COUNTIF(Workings!A:A,A66)))</f>
        <v>1</v>
      </c>
      <c r="E66" t="str">
        <f>IF(C66="","",VLOOKUP(C66,'Summ (F&amp;P Govn)'!A:O,2,FALSE))</f>
        <v>Faculties </v>
      </c>
    </row>
    <row r="67" spans="1:5" ht="12.75">
      <c r="A67" s="290">
        <v>325</v>
      </c>
      <c r="B67" s="290" t="s">
        <v>124</v>
      </c>
      <c r="C67" s="139">
        <v>1600</v>
      </c>
      <c r="D67" s="138">
        <f>IF(A67="","",(COUNTIF(Workings!A:A,A67)))</f>
        <v>1</v>
      </c>
      <c r="E67" t="str">
        <f>IF(C67="","",VLOOKUP(C67,'Summ (F&amp;P Govn)'!A:O,2,FALSE))</f>
        <v>Faculties </v>
      </c>
    </row>
    <row r="68" spans="1:5" ht="12.75">
      <c r="A68" s="290">
        <v>326</v>
      </c>
      <c r="B68" s="290" t="s">
        <v>125</v>
      </c>
      <c r="C68" s="139">
        <v>1600</v>
      </c>
      <c r="D68" s="138">
        <f>IF(A68="","",(COUNTIF(Workings!A:A,A68)))</f>
        <v>1</v>
      </c>
      <c r="E68" t="str">
        <f>IF(C68="","",VLOOKUP(C68,'Summ (F&amp;P Govn)'!A:O,2,FALSE))</f>
        <v>Faculties </v>
      </c>
    </row>
    <row r="69" spans="1:5" ht="12.75">
      <c r="A69" s="290">
        <v>330</v>
      </c>
      <c r="B69" s="290" t="s">
        <v>126</v>
      </c>
      <c r="C69" s="139">
        <v>1680</v>
      </c>
      <c r="D69" s="138">
        <f>IF(A69="","",(COUNTIF(Workings!A:A,A69)))</f>
        <v>1</v>
      </c>
      <c r="E69" t="str">
        <f>IF(C69="","",VLOOKUP(C69,'Summ (F&amp;P Govn)'!A:O,2,FALSE))</f>
        <v>Pupil Transport</v>
      </c>
    </row>
    <row r="70" spans="1:5" ht="12.75">
      <c r="A70" s="290">
        <v>331</v>
      </c>
      <c r="B70" s="290" t="s">
        <v>127</v>
      </c>
      <c r="C70" s="139">
        <v>1600</v>
      </c>
      <c r="D70" s="138">
        <f>IF(A70="","",(COUNTIF(Workings!A:A,A70)))</f>
        <v>1</v>
      </c>
      <c r="E70" t="str">
        <f>IF(C70="","",VLOOKUP(C70,'Summ (F&amp;P Govn)'!A:O,2,FALSE))</f>
        <v>Faculties </v>
      </c>
    </row>
    <row r="71" spans="1:5" ht="12.75">
      <c r="A71" s="290">
        <v>332</v>
      </c>
      <c r="B71" s="290" t="s">
        <v>128</v>
      </c>
      <c r="C71" s="139">
        <v>2100</v>
      </c>
      <c r="D71" s="138">
        <f>IF(A71="","",(COUNTIF(Workings!A:A,A71)))</f>
        <v>1</v>
      </c>
      <c r="E71" t="str">
        <f>IF(C71="","",VLOOKUP(C71,'Summ (F&amp;P Govn)'!A:O,2,FALSE))</f>
        <v>Staff Training</v>
      </c>
    </row>
    <row r="72" spans="1:5" ht="12.75">
      <c r="A72" s="290" t="s">
        <v>129</v>
      </c>
      <c r="B72" s="290" t="s">
        <v>130</v>
      </c>
      <c r="C72" s="139">
        <v>2100</v>
      </c>
      <c r="D72" s="138">
        <f>IF(A72="","",(COUNTIF(Workings!A:A,A72)))</f>
        <v>0</v>
      </c>
      <c r="E72" t="str">
        <f>IF(C72="","",VLOOKUP(C72,'Summ (F&amp;P Govn)'!A:O,2,FALSE))</f>
        <v>Staff Training</v>
      </c>
    </row>
    <row r="73" spans="1:5" ht="12.75">
      <c r="A73" s="290">
        <v>333</v>
      </c>
      <c r="B73" s="290" t="s">
        <v>131</v>
      </c>
      <c r="C73" s="139">
        <v>1600</v>
      </c>
      <c r="D73" s="138">
        <f>IF(A73="","",(COUNTIF(Workings!A:A,A73)))</f>
        <v>1</v>
      </c>
      <c r="E73" t="str">
        <f>IF(C73="","",VLOOKUP(C73,'Summ (F&amp;P Govn)'!A:O,2,FALSE))</f>
        <v>Faculties </v>
      </c>
    </row>
    <row r="74" spans="1:5" ht="12.75">
      <c r="A74" s="290">
        <v>336</v>
      </c>
      <c r="B74" s="290" t="s">
        <v>132</v>
      </c>
      <c r="C74" s="139">
        <v>1600</v>
      </c>
      <c r="D74" s="138">
        <f>IF(A74="","",(COUNTIF(Workings!A:A,A74)))</f>
        <v>1</v>
      </c>
      <c r="E74" t="str">
        <f>IF(C74="","",VLOOKUP(C74,'Summ (F&amp;P Govn)'!A:O,2,FALSE))</f>
        <v>Faculties </v>
      </c>
    </row>
    <row r="75" spans="1:5" ht="12.75">
      <c r="A75" s="290">
        <v>337</v>
      </c>
      <c r="B75" s="290" t="s">
        <v>133</v>
      </c>
      <c r="C75" s="139">
        <v>1600</v>
      </c>
      <c r="D75" s="138">
        <f>IF(A75="","",(COUNTIF(Workings!A:A,A75)))</f>
        <v>1</v>
      </c>
      <c r="E75" t="str">
        <f>IF(C75="","",VLOOKUP(C75,'Summ (F&amp;P Govn)'!A:O,2,FALSE))</f>
        <v>Faculties </v>
      </c>
    </row>
    <row r="76" spans="1:5" ht="12.75">
      <c r="A76" s="290">
        <v>338</v>
      </c>
      <c r="B76" s="290" t="s">
        <v>134</v>
      </c>
      <c r="C76" s="139">
        <v>1600</v>
      </c>
      <c r="D76" s="138">
        <f>IF(A76="","",(COUNTIF(Workings!A:A,A76)))</f>
        <v>1</v>
      </c>
      <c r="E76" t="str">
        <f>IF(C76="","",VLOOKUP(C76,'Summ (F&amp;P Govn)'!A:O,2,FALSE))</f>
        <v>Faculties </v>
      </c>
    </row>
    <row r="77" spans="1:5" ht="12.75">
      <c r="A77" s="290">
        <v>340</v>
      </c>
      <c r="B77" s="290" t="s">
        <v>135</v>
      </c>
      <c r="C77" s="139">
        <v>1630</v>
      </c>
      <c r="D77" s="138">
        <f>IF(A77="","",(COUNTIF(Workings!A:A,A77)))</f>
        <v>1</v>
      </c>
      <c r="E77" t="str">
        <f>IF(C77="","",VLOOKUP(C77,'Summ (F&amp;P Govn)'!A:O,2,FALSE))</f>
        <v>Pastoral</v>
      </c>
    </row>
    <row r="78" spans="1:5" ht="12.75">
      <c r="A78" s="290">
        <v>341</v>
      </c>
      <c r="B78" s="290" t="s">
        <v>136</v>
      </c>
      <c r="C78" s="139">
        <v>1630</v>
      </c>
      <c r="D78" s="138">
        <f>IF(A78="","",(COUNTIF(Workings!A:A,A78)))</f>
        <v>1</v>
      </c>
      <c r="E78" t="str">
        <f>IF(C78="","",VLOOKUP(C78,'Summ (F&amp;P Govn)'!A:O,2,FALSE))</f>
        <v>Pastoral</v>
      </c>
    </row>
    <row r="79" spans="1:5" ht="12.75">
      <c r="A79" s="290">
        <v>342</v>
      </c>
      <c r="B79" s="290" t="s">
        <v>137</v>
      </c>
      <c r="C79" s="139">
        <v>1630</v>
      </c>
      <c r="D79" s="138">
        <f>IF(A79="","",(COUNTIF(Workings!A:A,A79)))</f>
        <v>1</v>
      </c>
      <c r="E79" t="str">
        <f>IF(C79="","",VLOOKUP(C79,'Summ (F&amp;P Govn)'!A:O,2,FALSE))</f>
        <v>Pastoral</v>
      </c>
    </row>
    <row r="80" spans="1:5" ht="12.75">
      <c r="A80" s="290">
        <v>343</v>
      </c>
      <c r="B80" s="290" t="s">
        <v>138</v>
      </c>
      <c r="C80" s="139">
        <v>1630</v>
      </c>
      <c r="D80" s="138">
        <f>IF(A80="","",(COUNTIF(Workings!A:A,A80)))</f>
        <v>0</v>
      </c>
      <c r="E80" t="str">
        <f>IF(C80="","",VLOOKUP(C80,'Summ (F&amp;P Govn)'!A:O,2,FALSE))</f>
        <v>Pastoral</v>
      </c>
    </row>
    <row r="81" spans="1:5" ht="12.75">
      <c r="A81" s="290">
        <v>344</v>
      </c>
      <c r="B81" s="290" t="s">
        <v>139</v>
      </c>
      <c r="C81" s="139">
        <v>1630</v>
      </c>
      <c r="D81" s="138">
        <f>IF(A81="","",(COUNTIF(Workings!A:A,A81)))</f>
        <v>1</v>
      </c>
      <c r="E81" t="str">
        <f>IF(C81="","",VLOOKUP(C81,'Summ (F&amp;P Govn)'!A:O,2,FALSE))</f>
        <v>Pastoral</v>
      </c>
    </row>
    <row r="82" spans="1:5" ht="12.75">
      <c r="A82" s="290">
        <v>346</v>
      </c>
      <c r="B82" s="290" t="s">
        <v>140</v>
      </c>
      <c r="C82" s="139">
        <v>1630</v>
      </c>
      <c r="D82" s="138">
        <f>IF(A82="","",(COUNTIF(Workings!A:A,A82)))</f>
        <v>1</v>
      </c>
      <c r="E82" t="str">
        <f>IF(C82="","",VLOOKUP(C82,'Summ (F&amp;P Govn)'!A:O,2,FALSE))</f>
        <v>Pastoral</v>
      </c>
    </row>
    <row r="83" spans="1:5" ht="12.75">
      <c r="A83" s="292">
        <v>348</v>
      </c>
      <c r="B83" s="292" t="s">
        <v>141</v>
      </c>
      <c r="C83" s="139">
        <v>1670</v>
      </c>
      <c r="D83" s="138">
        <f>IF(A83="","",(COUNTIF(Workings!A:A,A83)))</f>
        <v>1</v>
      </c>
      <c r="E83" t="str">
        <f>IF(C83="","",VLOOKUP(C83,'Summ (F&amp;P Govn)'!A:O,2,FALSE))</f>
        <v>Schools Partnership Expenditure</v>
      </c>
    </row>
    <row r="84" spans="1:5" ht="12.75">
      <c r="A84" s="290">
        <v>349</v>
      </c>
      <c r="B84" s="290" t="s">
        <v>142</v>
      </c>
      <c r="C84" s="139">
        <v>1630</v>
      </c>
      <c r="D84" s="138">
        <f>IF(A84="","",(COUNTIF(Workings!A:A,A84)))</f>
        <v>1</v>
      </c>
      <c r="E84" t="str">
        <f>IF(C84="","",VLOOKUP(C84,'Summ (F&amp;P Govn)'!A:O,2,FALSE))</f>
        <v>Pastoral</v>
      </c>
    </row>
    <row r="85" spans="1:5" ht="12.75">
      <c r="A85" s="290">
        <v>350</v>
      </c>
      <c r="B85" s="290" t="s">
        <v>143</v>
      </c>
      <c r="C85" s="139">
        <v>1650</v>
      </c>
      <c r="D85" s="138">
        <f>IF(A85="","",(COUNTIF(Workings!A:A,A85)))</f>
        <v>1</v>
      </c>
      <c r="E85" t="str">
        <f>IF(C85="","",VLOOKUP(C85,'Summ (F&amp;P Govn)'!A:O,2,FALSE))</f>
        <v>Other Educational </v>
      </c>
    </row>
    <row r="86" spans="1:5" ht="12.75">
      <c r="A86" s="290">
        <v>351</v>
      </c>
      <c r="B86" s="290" t="s">
        <v>144</v>
      </c>
      <c r="C86" s="139">
        <v>1650</v>
      </c>
      <c r="D86" s="138">
        <f>IF(A86="","",(COUNTIF(Workings!A:A,A86)))</f>
        <v>1</v>
      </c>
      <c r="E86" t="str">
        <f>IF(C86="","",VLOOKUP(C86,'Summ (F&amp;P Govn)'!A:O,2,FALSE))</f>
        <v>Other Educational </v>
      </c>
    </row>
    <row r="87" spans="1:5" ht="12.75">
      <c r="A87" s="290">
        <v>352</v>
      </c>
      <c r="B87" s="290" t="s">
        <v>538</v>
      </c>
      <c r="C87" s="139">
        <v>1650</v>
      </c>
      <c r="D87" s="138">
        <f>IF(A87="","",(COUNTIF(Workings!A:A,A87)))</f>
        <v>0</v>
      </c>
      <c r="E87" t="str">
        <f>IF(C87="","",VLOOKUP(C87,'Summ (F&amp;P Govn)'!A:O,2,FALSE))</f>
        <v>Other Educational </v>
      </c>
    </row>
    <row r="88" spans="1:5" ht="12.75">
      <c r="A88" s="290">
        <v>354</v>
      </c>
      <c r="B88" s="290" t="s">
        <v>146</v>
      </c>
      <c r="C88" s="139">
        <v>1640</v>
      </c>
      <c r="D88" s="138">
        <f>IF(A88="","",(COUNTIF(Workings!A:A,A88)))</f>
        <v>1</v>
      </c>
      <c r="E88" t="str">
        <f>IF(C88="","",VLOOKUP(C88,'Summ (F&amp;P Govn)'!A:O,2,FALSE))</f>
        <v>Pupil Support</v>
      </c>
    </row>
    <row r="89" spans="1:5" ht="12.75">
      <c r="A89" s="290">
        <v>356</v>
      </c>
      <c r="B89" s="290" t="s">
        <v>147</v>
      </c>
      <c r="C89" s="139">
        <v>1640</v>
      </c>
      <c r="D89" s="138">
        <f>IF(A89="","",(COUNTIF(Workings!A:A,A89)))</f>
        <v>0</v>
      </c>
      <c r="E89" t="str">
        <f>IF(C89="","",VLOOKUP(C89,'Summ (F&amp;P Govn)'!A:O,2,FALSE))</f>
        <v>Pupil Support</v>
      </c>
    </row>
    <row r="90" spans="1:5" ht="12.75">
      <c r="A90" s="290">
        <v>357</v>
      </c>
      <c r="B90" s="290" t="s">
        <v>539</v>
      </c>
      <c r="C90" s="139">
        <v>1640</v>
      </c>
      <c r="D90" s="138">
        <f>IF(A90="","",(COUNTIF(Workings!A:A,A90)))</f>
        <v>1</v>
      </c>
      <c r="E90" t="str">
        <f>IF(C90="","",VLOOKUP(C90,'Summ (F&amp;P Govn)'!A:O,2,FALSE))</f>
        <v>Pupil Support</v>
      </c>
    </row>
    <row r="91" spans="1:5" ht="12.75">
      <c r="A91" s="290">
        <v>358</v>
      </c>
      <c r="B91" s="290" t="s">
        <v>149</v>
      </c>
      <c r="C91" s="139">
        <v>1650</v>
      </c>
      <c r="D91" s="138">
        <f>IF(A91="","",(COUNTIF(Workings!A:A,A91)))</f>
        <v>1</v>
      </c>
      <c r="E91" t="str">
        <f>IF(C91="","",VLOOKUP(C91,'Summ (F&amp;P Govn)'!A:O,2,FALSE))</f>
        <v>Other Educational </v>
      </c>
    </row>
    <row r="92" spans="1:5" ht="12.75">
      <c r="A92" s="290">
        <v>360</v>
      </c>
      <c r="B92" s="290" t="s">
        <v>150</v>
      </c>
      <c r="C92" s="139">
        <v>5300</v>
      </c>
      <c r="D92" s="138">
        <f>IF(A92="","",(COUNTIF(Workings!A:A,A92)))</f>
        <v>1</v>
      </c>
      <c r="E92" t="str">
        <f>IF(C92="","",VLOOKUP(C92,'Summ (F&amp;P Govn)'!A:O,2,FALSE))</f>
        <v>Other Income</v>
      </c>
    </row>
    <row r="93" spans="1:5" ht="12.75">
      <c r="A93" s="290" t="s">
        <v>151</v>
      </c>
      <c r="B93" s="290" t="s">
        <v>152</v>
      </c>
      <c r="C93" s="139">
        <v>2100</v>
      </c>
      <c r="D93" s="138">
        <f>IF(A93="","",(COUNTIF(Workings!A:A,A93)))</f>
        <v>0</v>
      </c>
      <c r="E93" t="str">
        <f>IF(C93="","",VLOOKUP(C93,'Summ (F&amp;P Govn)'!A:O,2,FALSE))</f>
        <v>Staff Training</v>
      </c>
    </row>
    <row r="94" spans="1:5" ht="12.75">
      <c r="A94" s="290">
        <v>366</v>
      </c>
      <c r="B94" s="290" t="s">
        <v>153</v>
      </c>
      <c r="C94" s="139">
        <v>1600</v>
      </c>
      <c r="D94" s="138">
        <f>IF(A94="","",(COUNTIF(Workings!A:A,A94)))</f>
        <v>1</v>
      </c>
      <c r="E94" t="str">
        <f>IF(C94="","",VLOOKUP(C94,'Summ (F&amp;P Govn)'!A:O,2,FALSE))</f>
        <v>Faculties </v>
      </c>
    </row>
    <row r="95" spans="1:5" ht="12.75">
      <c r="A95" s="290">
        <v>367</v>
      </c>
      <c r="B95" s="290" t="s">
        <v>154</v>
      </c>
      <c r="C95" s="139">
        <v>1650</v>
      </c>
      <c r="D95" s="138">
        <f>IF(A95="","",(COUNTIF(Workings!A:A,A95)))</f>
        <v>1</v>
      </c>
      <c r="E95" t="str">
        <f>IF(C95="","",VLOOKUP(C95,'Summ (F&amp;P Govn)'!A:O,2,FALSE))</f>
        <v>Other Educational </v>
      </c>
    </row>
    <row r="96" spans="1:5" ht="12.75">
      <c r="A96" s="290">
        <v>369</v>
      </c>
      <c r="B96" s="290" t="s">
        <v>155</v>
      </c>
      <c r="C96" s="139">
        <v>1620</v>
      </c>
      <c r="D96" s="138">
        <f>IF(A96="","",(COUNTIF(Workings!A:A,A96)))</f>
        <v>1</v>
      </c>
      <c r="E96" t="str">
        <f>IF(C96="","",VLOOKUP(C96,'Summ (F&amp;P Govn)'!A:O,2,FALSE))</f>
        <v>Head teacher budgets</v>
      </c>
    </row>
    <row r="97" spans="1:5" ht="12.75">
      <c r="A97" s="290">
        <v>376</v>
      </c>
      <c r="B97" s="290" t="s">
        <v>156</v>
      </c>
      <c r="C97" s="139">
        <v>2200</v>
      </c>
      <c r="D97" s="138">
        <f>IF(A97="","",(COUNTIF(Workings!A:A,A97)))</f>
        <v>0</v>
      </c>
      <c r="E97" t="str">
        <f>IF(C97="","",VLOOKUP(C97,'Summ (F&amp;P Govn)'!A:O,2,FALSE))</f>
        <v>Other Employees Expenses</v>
      </c>
    </row>
    <row r="98" spans="1:5" ht="12.75">
      <c r="A98" s="290">
        <v>501</v>
      </c>
      <c r="B98" s="290" t="s">
        <v>157</v>
      </c>
      <c r="C98" s="139">
        <v>1810</v>
      </c>
      <c r="D98" s="138">
        <f>IF(A98="","",(COUNTIF(Workings!A:A,A98)))</f>
        <v>0</v>
      </c>
      <c r="E98" t="str">
        <f>IF(C98="","",VLOOKUP(C98,'Summ (F&amp;P Govn)'!A:O,2,FALSE))</f>
        <v>Catering</v>
      </c>
    </row>
    <row r="99" spans="1:5" ht="12.75">
      <c r="A99" s="290">
        <v>502</v>
      </c>
      <c r="B99" s="290" t="s">
        <v>158</v>
      </c>
      <c r="C99" s="139">
        <v>1810</v>
      </c>
      <c r="D99" s="138">
        <f>IF(A99="","",(COUNTIF(Workings!A:A,A99)))</f>
        <v>1</v>
      </c>
      <c r="E99" t="str">
        <f>IF(C99="","",VLOOKUP(C99,'Summ (F&amp;P Govn)'!A:O,2,FALSE))</f>
        <v>Catering</v>
      </c>
    </row>
    <row r="100" spans="1:5" ht="12.75">
      <c r="A100" s="292">
        <v>503</v>
      </c>
      <c r="B100" s="292" t="s">
        <v>159</v>
      </c>
      <c r="C100" s="139">
        <v>1800</v>
      </c>
      <c r="D100" s="138">
        <f>IF(A100="","",(COUNTIF(Workings!A:A,A100)))</f>
        <v>1</v>
      </c>
      <c r="E100" t="str">
        <f>IF(C100="","",VLOOKUP(C100,'Summ (F&amp;P Govn)'!A:O,2,FALSE))</f>
        <v>Telephones</v>
      </c>
    </row>
    <row r="101" spans="1:5" ht="12.75">
      <c r="A101" s="290">
        <v>504</v>
      </c>
      <c r="B101" s="290" t="s">
        <v>160</v>
      </c>
      <c r="C101" s="139">
        <v>2010</v>
      </c>
      <c r="D101" s="138">
        <f>IF(A101="","",(COUNTIF(Workings!A:A,A101)))</f>
        <v>1</v>
      </c>
      <c r="E101" t="str">
        <f>IF(C101="","",VLOOKUP(C101,'Summ (F&amp;P Govn)'!A:O,2,FALSE))</f>
        <v>Reprographics</v>
      </c>
    </row>
    <row r="102" spans="1:5" ht="12.75">
      <c r="A102" s="290">
        <v>505</v>
      </c>
      <c r="B102" s="290" t="s">
        <v>161</v>
      </c>
      <c r="C102" s="139">
        <v>1610</v>
      </c>
      <c r="D102" s="138">
        <f>IF(A102="","",(COUNTIF(Workings!A:A,A102)))</f>
        <v>1</v>
      </c>
      <c r="E102" t="str">
        <f>IF(C102="","",VLOOKUP(C102,'Summ (F&amp;P Govn)'!A:O,2,FALSE))</f>
        <v>Examinations</v>
      </c>
    </row>
    <row r="103" spans="1:5" ht="12.75">
      <c r="A103" s="290">
        <v>506</v>
      </c>
      <c r="B103" s="290" t="s">
        <v>162</v>
      </c>
      <c r="C103" s="139">
        <v>1630</v>
      </c>
      <c r="D103" s="138">
        <f>IF(A103="","",(COUNTIF(Workings!A:A,A103)))</f>
        <v>1</v>
      </c>
      <c r="E103" t="str">
        <f>IF(C103="","",VLOOKUP(C103,'Summ (F&amp;P Govn)'!A:O,2,FALSE))</f>
        <v>Pastoral</v>
      </c>
    </row>
    <row r="104" spans="1:5" ht="12.75">
      <c r="A104" s="290">
        <v>507</v>
      </c>
      <c r="B104" s="290" t="s">
        <v>163</v>
      </c>
      <c r="C104" s="139">
        <v>1630</v>
      </c>
      <c r="D104" s="138">
        <f>IF(A104="","",(COUNTIF(Workings!A:A,A104)))</f>
        <v>0</v>
      </c>
      <c r="E104" t="str">
        <f>IF(C104="","",VLOOKUP(C104,'Summ (F&amp;P Govn)'!A:O,2,FALSE))</f>
        <v>Pastoral</v>
      </c>
    </row>
    <row r="105" spans="1:5" ht="12.75">
      <c r="A105" s="290">
        <v>508</v>
      </c>
      <c r="B105" s="290" t="s">
        <v>164</v>
      </c>
      <c r="C105" s="139">
        <v>9900</v>
      </c>
      <c r="D105" s="138">
        <f>IF(A105="","",(COUNTIF(Workings!A:A,A105)))</f>
        <v>0</v>
      </c>
      <c r="E105" t="str">
        <f>IF(C105="","",VLOOKUP(C105,'Summ (F&amp;P Govn)'!A:O,2,FALSE))</f>
        <v>Misc unallocated Control</v>
      </c>
    </row>
    <row r="106" spans="1:5" ht="12.75">
      <c r="A106" s="290" t="s">
        <v>165</v>
      </c>
      <c r="B106" s="290" t="s">
        <v>166</v>
      </c>
      <c r="C106" s="139">
        <v>9900</v>
      </c>
      <c r="D106" s="138">
        <f>IF(A106="","",(COUNTIF(Workings!A:A,A106)))</f>
        <v>0</v>
      </c>
      <c r="E106" t="str">
        <f>IF(C106="","",VLOOKUP(C106,'Summ (F&amp;P Govn)'!A:O,2,FALSE))</f>
        <v>Misc unallocated Control</v>
      </c>
    </row>
    <row r="107" spans="1:5" ht="12.75">
      <c r="A107" s="290">
        <v>509</v>
      </c>
      <c r="B107" s="290" t="s">
        <v>167</v>
      </c>
      <c r="C107" s="139">
        <v>1630</v>
      </c>
      <c r="D107" s="138">
        <f>IF(A107="","",(COUNTIF(Workings!A:A,A107)))</f>
        <v>1</v>
      </c>
      <c r="E107" t="str">
        <f>IF(C107="","",VLOOKUP(C107,'Summ (F&amp;P Govn)'!A:O,2,FALSE))</f>
        <v>Pastoral</v>
      </c>
    </row>
    <row r="108" spans="1:5" ht="12.75">
      <c r="A108" s="290">
        <v>510</v>
      </c>
      <c r="B108" s="290" t="s">
        <v>168</v>
      </c>
      <c r="C108" s="139">
        <v>1600</v>
      </c>
      <c r="D108" s="138">
        <f>IF(A108="","",(COUNTIF(Workings!A:A,A108)))</f>
        <v>1</v>
      </c>
      <c r="E108" t="str">
        <f>IF(C108="","",VLOOKUP(C108,'Summ (F&amp;P Govn)'!A:O,2,FALSE))</f>
        <v>Faculties </v>
      </c>
    </row>
    <row r="109" spans="1:5" ht="12.75">
      <c r="A109" s="290">
        <v>511</v>
      </c>
      <c r="B109" s="290" t="s">
        <v>169</v>
      </c>
      <c r="C109" s="139">
        <v>1530</v>
      </c>
      <c r="D109" s="138">
        <f>IF(A109="","",(COUNTIF(Workings!A:A,A109)))</f>
        <v>0</v>
      </c>
      <c r="E109" t="str">
        <f>IF(C109="","",VLOOKUP(C109,'Summ (F&amp;P Govn)'!A:O,2,FALSE))</f>
        <v>Rent and Rates</v>
      </c>
    </row>
    <row r="110" spans="1:5" ht="12.75">
      <c r="A110" s="290">
        <v>512</v>
      </c>
      <c r="B110" s="290" t="s">
        <v>170</v>
      </c>
      <c r="C110" s="139">
        <v>1810</v>
      </c>
      <c r="D110" s="138">
        <f>IF(A110="","",(COUNTIF(Workings!A:A,A110)))</f>
        <v>0</v>
      </c>
      <c r="E110" t="str">
        <f>IF(C110="","",VLOOKUP(C110,'Summ (F&amp;P Govn)'!A:O,2,FALSE))</f>
        <v>Catering</v>
      </c>
    </row>
    <row r="111" spans="1:5" ht="12.75">
      <c r="A111" s="290" t="s">
        <v>171</v>
      </c>
      <c r="B111" s="290" t="s">
        <v>172</v>
      </c>
      <c r="C111" s="139">
        <v>5300</v>
      </c>
      <c r="D111" s="138">
        <f>IF(A111="","",(COUNTIF(Workings!A:A,A111)))</f>
        <v>0</v>
      </c>
      <c r="E111" t="str">
        <f>IF(C111="","",VLOOKUP(C111,'Summ (F&amp;P Govn)'!A:O,2,FALSE))</f>
        <v>Other Income</v>
      </c>
    </row>
    <row r="112" spans="1:5" ht="12.75">
      <c r="A112" s="293">
        <v>513</v>
      </c>
      <c r="B112" s="290" t="s">
        <v>173</v>
      </c>
      <c r="C112" s="139">
        <v>1680</v>
      </c>
      <c r="D112" s="138">
        <f>IF(A112="","",(COUNTIF(Workings!A:A,A112)))</f>
        <v>1</v>
      </c>
      <c r="E112" t="str">
        <f>IF(C112="","",VLOOKUP(C112,'Summ (F&amp;P Govn)'!A:O,2,FALSE))</f>
        <v>Pupil Transport</v>
      </c>
    </row>
    <row r="113" spans="1:5" ht="12.75">
      <c r="A113" s="290">
        <v>514</v>
      </c>
      <c r="B113" s="290" t="s">
        <v>174</v>
      </c>
      <c r="C113" s="139">
        <v>1600</v>
      </c>
      <c r="D113" s="138">
        <f>IF(A113="","",(COUNTIF(Workings!A:A,A113)))</f>
        <v>1</v>
      </c>
      <c r="E113" t="str">
        <f>IF(C113="","",VLOOKUP(C113,'Summ (F&amp;P Govn)'!A:O,2,FALSE))</f>
        <v>Faculties </v>
      </c>
    </row>
    <row r="114" spans="1:5" ht="12.75">
      <c r="A114" s="290">
        <v>515</v>
      </c>
      <c r="B114" s="290" t="s">
        <v>175</v>
      </c>
      <c r="C114" s="139">
        <v>1830</v>
      </c>
      <c r="D114" s="138">
        <f>IF(A114="","",(COUNTIF(Workings!A:A,A114)))</f>
        <v>1</v>
      </c>
      <c r="E114" t="str">
        <f>IF(C114="","",VLOOKUP(C114,'Summ (F&amp;P Govn)'!A:O,2,FALSE))</f>
        <v>Management Support</v>
      </c>
    </row>
    <row r="115" spans="1:5" ht="12.75">
      <c r="A115" s="290">
        <v>516</v>
      </c>
      <c r="B115" s="290" t="s">
        <v>176</v>
      </c>
      <c r="C115" s="139">
        <v>5300</v>
      </c>
      <c r="D115" s="138">
        <f>IF(A115="","",(COUNTIF(Workings!A:A,A115)))</f>
        <v>1</v>
      </c>
      <c r="E115" t="str">
        <f>IF(C115="","",VLOOKUP(C115,'Summ (F&amp;P Govn)'!A:O,2,FALSE))</f>
        <v>Other Income</v>
      </c>
    </row>
    <row r="116" spans="1:5" ht="12.75">
      <c r="A116" s="290">
        <v>517</v>
      </c>
      <c r="B116" s="290" t="s">
        <v>177</v>
      </c>
      <c r="C116" s="139">
        <v>2200</v>
      </c>
      <c r="D116" s="138">
        <f>IF(A116="","",(COUNTIF(Workings!A:A,A116)))</f>
        <v>1</v>
      </c>
      <c r="E116" t="str">
        <f>IF(C116="","",VLOOKUP(C116,'Summ (F&amp;P Govn)'!A:O,2,FALSE))</f>
        <v>Other Employees Expenses</v>
      </c>
    </row>
    <row r="117" spans="1:5" ht="12.75">
      <c r="A117" s="290">
        <v>518</v>
      </c>
      <c r="B117" s="290" t="s">
        <v>178</v>
      </c>
      <c r="C117" s="139">
        <v>1830</v>
      </c>
      <c r="D117" s="138">
        <f>IF(A117="","",(COUNTIF(Workings!A:A,A117)))</f>
        <v>1</v>
      </c>
      <c r="E117" t="str">
        <f>IF(C117="","",VLOOKUP(C117,'Summ (F&amp;P Govn)'!A:O,2,FALSE))</f>
        <v>Management Support</v>
      </c>
    </row>
    <row r="118" spans="1:5" ht="12.75">
      <c r="A118" s="290">
        <v>519</v>
      </c>
      <c r="B118" s="290" t="s">
        <v>179</v>
      </c>
      <c r="C118" s="139">
        <v>1820</v>
      </c>
      <c r="D118" s="138">
        <f>IF(A118="","",(COUNTIF(Workings!A:A,A118)))</f>
        <v>1</v>
      </c>
      <c r="E118" t="str">
        <f>IF(C118="","",VLOOKUP(C118,'Summ (F&amp;P Govn)'!A:O,2,FALSE))</f>
        <v>Professional Fees Exp.</v>
      </c>
    </row>
    <row r="119" spans="1:5" ht="12.75">
      <c r="A119" s="290">
        <v>520</v>
      </c>
      <c r="B119" s="290" t="s">
        <v>180</v>
      </c>
      <c r="C119" s="139">
        <v>1680</v>
      </c>
      <c r="D119" s="138">
        <f>IF(A119="","",(COUNTIF(Workings!A:A,A119)))</f>
        <v>1</v>
      </c>
      <c r="E119" t="str">
        <f>IF(C119="","",VLOOKUP(C119,'Summ (F&amp;P Govn)'!A:O,2,FALSE))</f>
        <v>Pupil Transport</v>
      </c>
    </row>
    <row r="120" spans="1:5" ht="12.75">
      <c r="A120" s="290">
        <v>522</v>
      </c>
      <c r="B120" s="290" t="s">
        <v>567</v>
      </c>
      <c r="C120" s="139">
        <v>2230</v>
      </c>
      <c r="D120" s="138">
        <f>IF(A120="","",(COUNTIF(Workings!A:A,A120)))</f>
        <v>1</v>
      </c>
      <c r="E120" t="str">
        <f>IF(C120="","",VLOOKUP(C120,'Summ (F&amp;P Govn)'!A:O,2,FALSE))</f>
        <v>Irrecoverable VAT</v>
      </c>
    </row>
    <row r="121" spans="1:5" ht="12.75">
      <c r="A121" s="290">
        <v>523</v>
      </c>
      <c r="B121" s="290" t="s">
        <v>182</v>
      </c>
      <c r="C121" s="139">
        <v>9900</v>
      </c>
      <c r="D121" s="138">
        <f>IF(A121="","",(COUNTIF(Workings!A:A,A121)))</f>
        <v>0</v>
      </c>
      <c r="E121" t="str">
        <f>IF(C121="","",VLOOKUP(C121,'Summ (F&amp;P Govn)'!A:O,2,FALSE))</f>
        <v>Misc unallocated Control</v>
      </c>
    </row>
    <row r="122" spans="1:5" ht="12.75">
      <c r="A122" s="290">
        <v>526</v>
      </c>
      <c r="B122" s="290" t="s">
        <v>183</v>
      </c>
      <c r="C122" s="139">
        <v>2200</v>
      </c>
      <c r="D122" s="138">
        <f>IF(A122="","",(COUNTIF(Workings!A:A,A122)))</f>
        <v>1</v>
      </c>
      <c r="E122" t="str">
        <f>IF(C122="","",VLOOKUP(C122,'Summ (F&amp;P Govn)'!A:O,2,FALSE))</f>
        <v>Other Employees Expenses</v>
      </c>
    </row>
    <row r="123" spans="1:5" ht="12.75">
      <c r="A123" s="290">
        <v>527</v>
      </c>
      <c r="B123" s="290" t="s">
        <v>184</v>
      </c>
      <c r="C123" s="139">
        <v>1620</v>
      </c>
      <c r="D123" s="138">
        <f>IF(A123="","",(COUNTIF(Workings!A:A,A123)))</f>
        <v>1</v>
      </c>
      <c r="E123" t="str">
        <f>IF(C123="","",VLOOKUP(C123,'Summ (F&amp;P Govn)'!A:O,2,FALSE))</f>
        <v>Head teacher budgets</v>
      </c>
    </row>
    <row r="124" spans="1:5" ht="12.75">
      <c r="A124" s="290">
        <v>531</v>
      </c>
      <c r="B124" s="290" t="s">
        <v>185</v>
      </c>
      <c r="C124" s="139">
        <v>1640</v>
      </c>
      <c r="D124" s="138">
        <f>IF(A124="","",(COUNTIF(Workings!A:A,A124)))</f>
        <v>1</v>
      </c>
      <c r="E124" t="str">
        <f>IF(C124="","",VLOOKUP(C124,'Summ (F&amp;P Govn)'!A:O,2,FALSE))</f>
        <v>Pupil Support</v>
      </c>
    </row>
    <row r="125" spans="1:5" ht="12.75">
      <c r="A125" s="290">
        <v>535</v>
      </c>
      <c r="B125" s="290" t="s">
        <v>186</v>
      </c>
      <c r="C125" s="139">
        <v>9900</v>
      </c>
      <c r="D125" s="138">
        <f>IF(A125="","",(COUNTIF(Workings!A:A,A125)))</f>
        <v>0</v>
      </c>
      <c r="E125" t="str">
        <f>IF(C125="","",VLOOKUP(C125,'Summ (F&amp;P Govn)'!A:O,2,FALSE))</f>
        <v>Misc unallocated Control</v>
      </c>
    </row>
    <row r="126" spans="1:5" ht="12.75">
      <c r="A126" s="290">
        <v>536</v>
      </c>
      <c r="B126" s="290" t="s">
        <v>187</v>
      </c>
      <c r="C126" s="139">
        <v>1640</v>
      </c>
      <c r="D126" s="138">
        <f>IF(A126="","",(COUNTIF(Workings!A:A,A126)))</f>
        <v>1</v>
      </c>
      <c r="E126" t="str">
        <f>IF(C126="","",VLOOKUP(C126,'Summ (F&amp;P Govn)'!A:O,2,FALSE))</f>
        <v>Pupil Support</v>
      </c>
    </row>
    <row r="127" spans="1:5" ht="12.75">
      <c r="A127" s="290">
        <v>539</v>
      </c>
      <c r="B127" s="290" t="s">
        <v>188</v>
      </c>
      <c r="C127" s="139">
        <v>1650</v>
      </c>
      <c r="D127" s="138">
        <f>IF(A127="","",(COUNTIF(Workings!A:A,A127)))</f>
        <v>1</v>
      </c>
      <c r="E127" t="str">
        <f>IF(C127="","",VLOOKUP(C127,'Summ (F&amp;P Govn)'!A:O,2,FALSE))</f>
        <v>Other Educational </v>
      </c>
    </row>
    <row r="128" spans="1:5" ht="12.75">
      <c r="A128" s="290">
        <v>540</v>
      </c>
      <c r="B128" s="290" t="s">
        <v>189</v>
      </c>
      <c r="C128" s="139">
        <v>1810</v>
      </c>
      <c r="D128" s="138">
        <f>IF(A128="","",(COUNTIF(Workings!A:A,A128)))</f>
        <v>1</v>
      </c>
      <c r="E128" t="str">
        <f>IF(C128="","",VLOOKUP(C128,'Summ (F&amp;P Govn)'!A:O,2,FALSE))</f>
        <v>Catering</v>
      </c>
    </row>
    <row r="129" spans="1:5" ht="12.75">
      <c r="A129" s="290"/>
      <c r="B129" s="290"/>
      <c r="C129" s="139"/>
      <c r="D129" s="138">
        <f>IF(A129="","",(COUNTIF(Workings!A:A,A129)))</f>
      </c>
      <c r="E129">
        <f>IF(C129="","",VLOOKUP(C129,'Summ (F&amp;P Govn)'!A:O,2,FALSE))</f>
      </c>
    </row>
    <row r="130" spans="1:5" ht="12.75">
      <c r="A130" s="290" t="s">
        <v>191</v>
      </c>
      <c r="B130" s="290" t="s">
        <v>192</v>
      </c>
      <c r="C130" s="139">
        <v>9900</v>
      </c>
      <c r="D130" s="138">
        <f>IF(A130="","",(COUNTIF(Workings!A:A,A130)))</f>
        <v>0</v>
      </c>
      <c r="E130" t="str">
        <f>IF(C130="","",VLOOKUP(C130,'Summ (F&amp;P Govn)'!A:O,2,FALSE))</f>
        <v>Misc unallocated Control</v>
      </c>
    </row>
    <row r="131" spans="1:5" ht="12.75">
      <c r="A131" s="290">
        <v>542</v>
      </c>
      <c r="B131" s="290" t="s">
        <v>193</v>
      </c>
      <c r="C131" s="139">
        <v>9900</v>
      </c>
      <c r="D131" s="138">
        <f>IF(A131="","",(COUNTIF(Workings!A:A,A131)))</f>
        <v>1</v>
      </c>
      <c r="E131" t="str">
        <f>IF(C131="","",VLOOKUP(C131,'Summ (F&amp;P Govn)'!A:O,2,FALSE))</f>
        <v>Misc unallocated Control</v>
      </c>
    </row>
    <row r="132" spans="1:5" ht="12.75">
      <c r="A132" s="290">
        <v>543</v>
      </c>
      <c r="B132" s="290" t="s">
        <v>194</v>
      </c>
      <c r="C132" s="139">
        <v>1600</v>
      </c>
      <c r="D132" s="138">
        <f>IF(A132="","",(COUNTIF(Workings!A:A,A132)))</f>
        <v>0</v>
      </c>
      <c r="E132" t="str">
        <f>IF(C132="","",VLOOKUP(C132,'Summ (F&amp;P Govn)'!A:O,2,FALSE))</f>
        <v>Faculties </v>
      </c>
    </row>
    <row r="133" spans="1:5" ht="12.75">
      <c r="A133" s="290">
        <v>544</v>
      </c>
      <c r="B133" s="290" t="s">
        <v>195</v>
      </c>
      <c r="C133" s="139">
        <v>1820</v>
      </c>
      <c r="D133" s="138">
        <f>IF(A133="","",(COUNTIF(Workings!A:A,A133)))</f>
        <v>1</v>
      </c>
      <c r="E133" t="str">
        <f>IF(C133="","",VLOOKUP(C133,'Summ (F&amp;P Govn)'!A:O,2,FALSE))</f>
        <v>Professional Fees Exp.</v>
      </c>
    </row>
    <row r="134" spans="1:5" ht="12.75">
      <c r="A134" s="290">
        <v>545</v>
      </c>
      <c r="B134" s="290" t="s">
        <v>196</v>
      </c>
      <c r="C134" s="139">
        <v>5300</v>
      </c>
      <c r="D134" s="138">
        <f>IF(A134="","",(COUNTIF(Workings!A:A,A134)))</f>
        <v>1</v>
      </c>
      <c r="E134" t="str">
        <f>IF(C134="","",VLOOKUP(C134,'Summ (F&amp;P Govn)'!A:O,2,FALSE))</f>
        <v>Other Income</v>
      </c>
    </row>
    <row r="135" spans="1:5" ht="12.75">
      <c r="A135" s="290">
        <v>548</v>
      </c>
      <c r="B135" s="290" t="s">
        <v>197</v>
      </c>
      <c r="C135" s="139">
        <v>2000</v>
      </c>
      <c r="D135" s="138">
        <f>IF(A135="","",(COUNTIF(Workings!A:A,A135)))</f>
        <v>1</v>
      </c>
      <c r="E135" t="str">
        <f>IF(C135="","",VLOOKUP(C135,'Summ (F&amp;P Govn)'!A:O,2,FALSE))</f>
        <v>IT Services</v>
      </c>
    </row>
    <row r="136" spans="1:5" ht="12.75">
      <c r="A136" s="290">
        <v>550</v>
      </c>
      <c r="B136" s="290" t="s">
        <v>198</v>
      </c>
      <c r="C136" s="139">
        <v>5300</v>
      </c>
      <c r="D136" s="138">
        <f>IF(A136="","",(COUNTIF(Workings!A:A,A136)))</f>
        <v>1</v>
      </c>
      <c r="E136" t="str">
        <f>IF(C136="","",VLOOKUP(C136,'Summ (F&amp;P Govn)'!A:O,2,FALSE))</f>
        <v>Other Income</v>
      </c>
    </row>
    <row r="137" spans="1:5" ht="12.75">
      <c r="A137" s="290">
        <v>551</v>
      </c>
      <c r="B137" s="290" t="s">
        <v>199</v>
      </c>
      <c r="C137" s="139">
        <v>9900</v>
      </c>
      <c r="D137" s="138">
        <f>IF(A137="","",(COUNTIF(Workings!A:A,A137)))</f>
        <v>0</v>
      </c>
      <c r="E137" t="str">
        <f>IF(C137="","",VLOOKUP(C137,'Summ (F&amp;P Govn)'!A:O,2,FALSE))</f>
        <v>Misc unallocated Control</v>
      </c>
    </row>
    <row r="138" spans="1:5" ht="12.75">
      <c r="A138" s="290">
        <v>552</v>
      </c>
      <c r="B138" s="290" t="s">
        <v>200</v>
      </c>
      <c r="C138" s="139">
        <v>5300</v>
      </c>
      <c r="D138" s="138">
        <f>IF(A138="","",(COUNTIF(Workings!A:A,A138)))</f>
        <v>1</v>
      </c>
      <c r="E138" t="str">
        <f>IF(C138="","",VLOOKUP(C138,'Summ (F&amp;P Govn)'!A:O,2,FALSE))</f>
        <v>Other Income</v>
      </c>
    </row>
    <row r="139" spans="1:5" ht="12.75">
      <c r="A139" s="290">
        <v>557</v>
      </c>
      <c r="B139" s="290" t="s">
        <v>201</v>
      </c>
      <c r="C139" s="139">
        <v>1640</v>
      </c>
      <c r="D139" s="138">
        <f>IF(A139="","",(COUNTIF(Workings!A:A,A139)))</f>
        <v>1</v>
      </c>
      <c r="E139" t="str">
        <f>IF(C139="","",VLOOKUP(C139,'Summ (F&amp;P Govn)'!A:O,2,FALSE))</f>
        <v>Pupil Support</v>
      </c>
    </row>
    <row r="140" spans="1:5" ht="12.75">
      <c r="A140" s="290">
        <v>559</v>
      </c>
      <c r="B140" s="290" t="s">
        <v>202</v>
      </c>
      <c r="C140" s="139">
        <v>9900</v>
      </c>
      <c r="D140" s="138">
        <f>IF(A140="","",(COUNTIF(Workings!A:A,A140)))</f>
        <v>0</v>
      </c>
      <c r="E140" t="str">
        <f>IF(C140="","",VLOOKUP(C140,'Summ (F&amp;P Govn)'!A:O,2,FALSE))</f>
        <v>Misc unallocated Control</v>
      </c>
    </row>
    <row r="141" spans="1:5" ht="12.75">
      <c r="A141" s="290">
        <v>560</v>
      </c>
      <c r="B141" s="290" t="s">
        <v>203</v>
      </c>
      <c r="C141" s="139">
        <v>1800</v>
      </c>
      <c r="D141" s="138">
        <f>IF(A141="","",(COUNTIF(Workings!A:A,A141)))</f>
        <v>1</v>
      </c>
      <c r="E141" t="str">
        <f>IF(C141="","",VLOOKUP(C141,'Summ (F&amp;P Govn)'!A:O,2,FALSE))</f>
        <v>Telephones</v>
      </c>
    </row>
    <row r="142" spans="1:5" ht="12.75">
      <c r="A142" s="290">
        <v>561</v>
      </c>
      <c r="B142" s="290" t="s">
        <v>204</v>
      </c>
      <c r="C142" s="139">
        <v>2200</v>
      </c>
      <c r="D142" s="138">
        <f>IF(A142="","",(COUNTIF(Workings!A:A,A142)))</f>
        <v>0</v>
      </c>
      <c r="E142" t="str">
        <f>IF(C142="","",VLOOKUP(C142,'Summ (F&amp;P Govn)'!A:O,2,FALSE))</f>
        <v>Other Employees Expenses</v>
      </c>
    </row>
    <row r="143" spans="1:5" ht="12.75">
      <c r="A143" s="290">
        <v>564</v>
      </c>
      <c r="B143" s="290" t="s">
        <v>205</v>
      </c>
      <c r="C143" s="139">
        <v>1640</v>
      </c>
      <c r="D143" s="138">
        <f>IF(A143="","",(COUNTIF(Workings!A:A,A143)))</f>
        <v>1</v>
      </c>
      <c r="E143" t="str">
        <f>IF(C143="","",VLOOKUP(C143,'Summ (F&amp;P Govn)'!A:O,2,FALSE))</f>
        <v>Pupil Support</v>
      </c>
    </row>
    <row r="144" spans="1:5" ht="12.75">
      <c r="A144" s="290">
        <v>565</v>
      </c>
      <c r="B144" s="290" t="s">
        <v>206</v>
      </c>
      <c r="C144" s="139">
        <v>2200</v>
      </c>
      <c r="D144" s="138">
        <f>IF(A144="","",(COUNTIF(Workings!A:A,A144)))</f>
        <v>1</v>
      </c>
      <c r="E144" t="str">
        <f>IF(C144="","",VLOOKUP(C144,'Summ (F&amp;P Govn)'!A:O,2,FALSE))</f>
        <v>Other Employees Expenses</v>
      </c>
    </row>
    <row r="145" spans="1:5" ht="12.75">
      <c r="A145" s="290">
        <v>569</v>
      </c>
      <c r="B145" s="290" t="s">
        <v>207</v>
      </c>
      <c r="C145" s="139">
        <v>1600</v>
      </c>
      <c r="D145" s="138">
        <f>IF(A145="","",(COUNTIF(Workings!A:A,A145)))</f>
        <v>0</v>
      </c>
      <c r="E145" t="str">
        <f>IF(C145="","",VLOOKUP(C145,'Summ (F&amp;P Govn)'!A:O,2,FALSE))</f>
        <v>Faculties </v>
      </c>
    </row>
    <row r="146" spans="1:5" ht="12.75">
      <c r="A146" s="290">
        <v>570</v>
      </c>
      <c r="B146" s="290" t="s">
        <v>208</v>
      </c>
      <c r="C146" s="139">
        <v>9900</v>
      </c>
      <c r="D146" s="138">
        <f>IF(A146="","",(COUNTIF(Workings!A:A,A146)))</f>
        <v>0</v>
      </c>
      <c r="E146" t="str">
        <f>IF(C146="","",VLOOKUP(C146,'Summ (F&amp;P Govn)'!A:O,2,FALSE))</f>
        <v>Misc unallocated Control</v>
      </c>
    </row>
    <row r="147" spans="1:5" ht="12.75">
      <c r="A147" s="290">
        <v>572</v>
      </c>
      <c r="B147" s="290" t="s">
        <v>209</v>
      </c>
      <c r="C147" s="139">
        <v>9900</v>
      </c>
      <c r="D147" s="138">
        <f>IF(A147="","",(COUNTIF(Workings!A:A,A147)))</f>
        <v>0</v>
      </c>
      <c r="E147" t="str">
        <f>IF(C147="","",VLOOKUP(C147,'Summ (F&amp;P Govn)'!A:O,2,FALSE))</f>
        <v>Misc unallocated Control</v>
      </c>
    </row>
    <row r="148" spans="1:5" ht="12.75">
      <c r="A148" s="290">
        <v>573</v>
      </c>
      <c r="B148" s="290" t="s">
        <v>210</v>
      </c>
      <c r="C148" s="139">
        <v>5300</v>
      </c>
      <c r="D148" s="138">
        <f>IF(A148="","",(COUNTIF(Workings!A:A,A148)))</f>
        <v>0</v>
      </c>
      <c r="E148" t="str">
        <f>IF(C148="","",VLOOKUP(C148,'Summ (F&amp;P Govn)'!A:O,2,FALSE))</f>
        <v>Other Income</v>
      </c>
    </row>
    <row r="149" spans="1:5" ht="12.75">
      <c r="A149" s="290">
        <v>576</v>
      </c>
      <c r="B149" s="290" t="s">
        <v>211</v>
      </c>
      <c r="C149" s="139">
        <v>1600</v>
      </c>
      <c r="D149" s="138">
        <f>IF(A149="","",(COUNTIF(Workings!A:A,A149)))</f>
        <v>1</v>
      </c>
      <c r="E149" t="str">
        <f>IF(C149="","",VLOOKUP(C149,'Summ (F&amp;P Govn)'!A:O,2,FALSE))</f>
        <v>Faculties </v>
      </c>
    </row>
    <row r="150" spans="1:5" ht="12.75">
      <c r="A150" s="290">
        <v>577</v>
      </c>
      <c r="B150" s="290" t="s">
        <v>212</v>
      </c>
      <c r="C150" s="139">
        <v>1650</v>
      </c>
      <c r="D150" s="138">
        <f>IF(A150="","",(COUNTIF(Workings!A:A,A150)))</f>
        <v>0</v>
      </c>
      <c r="E150" t="str">
        <f>IF(C150="","",VLOOKUP(C150,'Summ (F&amp;P Govn)'!A:O,2,FALSE))</f>
        <v>Other Educational </v>
      </c>
    </row>
    <row r="151" spans="1:5" ht="12.75">
      <c r="A151" s="290">
        <v>578</v>
      </c>
      <c r="B151" s="290" t="s">
        <v>213</v>
      </c>
      <c r="C151" s="139">
        <v>1640</v>
      </c>
      <c r="D151" s="138">
        <f>IF(A151="","",(COUNTIF(Workings!A:A,A151)))</f>
        <v>0</v>
      </c>
      <c r="E151" t="str">
        <f>IF(C151="","",VLOOKUP(C151,'Summ (F&amp;P Govn)'!A:O,2,FALSE))</f>
        <v>Pupil Support</v>
      </c>
    </row>
    <row r="152" spans="1:5" ht="12.75">
      <c r="A152" s="290">
        <v>601</v>
      </c>
      <c r="B152" s="290" t="s">
        <v>568</v>
      </c>
      <c r="C152" s="139">
        <v>1825</v>
      </c>
      <c r="D152" s="138">
        <f>IF(A152="","",(COUNTIF(Workings!A:A,A152)))</f>
        <v>1</v>
      </c>
      <c r="E152" t="str">
        <f>IF(C152="","",VLOOKUP(C152,'Summ (F&amp;P Govn)'!A:O,2,FALSE))</f>
        <v>Licences/Subscriptions/Fees</v>
      </c>
    </row>
    <row r="153" spans="1:5" ht="12.75">
      <c r="A153" s="290">
        <v>602</v>
      </c>
      <c r="B153" s="290" t="s">
        <v>215</v>
      </c>
      <c r="C153" s="139">
        <v>1500</v>
      </c>
      <c r="D153" s="138">
        <f>IF(A153="","",(COUNTIF(Workings!A:A,A153)))</f>
        <v>1</v>
      </c>
      <c r="E153" t="str">
        <f>IF(C153="","",VLOOKUP(C153,'Summ (F&amp;P Govn)'!A:O,2,FALSE))</f>
        <v>Cleaning</v>
      </c>
    </row>
    <row r="154" spans="1:5" ht="12.75">
      <c r="A154" s="290">
        <v>604</v>
      </c>
      <c r="B154" s="290" t="s">
        <v>216</v>
      </c>
      <c r="C154" s="139">
        <v>1900</v>
      </c>
      <c r="D154" s="138">
        <f>IF(A154="","",(COUNTIF(Workings!A:A,A154)))</f>
        <v>1</v>
      </c>
      <c r="E154" t="str">
        <f>IF(C154="","",VLOOKUP(C154,'Summ (F&amp;P Govn)'!A:O,2,FALSE))</f>
        <v>Furniture</v>
      </c>
    </row>
    <row r="155" spans="1:5" ht="12.75">
      <c r="A155" s="290">
        <v>605</v>
      </c>
      <c r="B155" s="290" t="s">
        <v>217</v>
      </c>
      <c r="C155" s="139">
        <v>1410</v>
      </c>
      <c r="D155" s="138">
        <f>IF(A155="","",(COUNTIF(Workings!A:A,A155)))</f>
        <v>1</v>
      </c>
      <c r="E155" t="str">
        <f>IF(C155="","",VLOOKUP(C155,'Summ (F&amp;P Govn)'!A:O,2,FALSE))</f>
        <v>Buildings - Upkeep</v>
      </c>
    </row>
    <row r="156" spans="1:5" ht="12.75">
      <c r="A156" s="290">
        <v>606</v>
      </c>
      <c r="B156" s="290" t="s">
        <v>218</v>
      </c>
      <c r="C156" s="139">
        <v>1420</v>
      </c>
      <c r="D156" s="138">
        <f>IF(A156="","",(COUNTIF(Workings!A:A,A156)))</f>
        <v>1</v>
      </c>
      <c r="E156" t="str">
        <f>IF(C156="","",VLOOKUP(C156,'Summ (F&amp;P Govn)'!A:O,2,FALSE))</f>
        <v>Grounds - Upkeep</v>
      </c>
    </row>
    <row r="157" spans="1:5" ht="12.75">
      <c r="A157" s="290">
        <v>607</v>
      </c>
      <c r="B157" s="290" t="s">
        <v>219</v>
      </c>
      <c r="C157" s="139">
        <v>1540</v>
      </c>
      <c r="D157" s="138">
        <f>IF(A157="","",(COUNTIF(Workings!A:A,A157)))</f>
        <v>1</v>
      </c>
      <c r="E157" t="str">
        <f>IF(C157="","",VLOOKUP(C157,'Summ (F&amp;P Govn)'!A:O,2,FALSE))</f>
        <v>Insurance</v>
      </c>
    </row>
    <row r="158" spans="1:5" ht="12.75">
      <c r="A158" s="290">
        <v>608</v>
      </c>
      <c r="B158" s="290" t="s">
        <v>220</v>
      </c>
      <c r="C158" s="139">
        <v>1530</v>
      </c>
      <c r="D158" s="138">
        <f>IF(A158="","",(COUNTIF(Workings!A:A,A158)))</f>
        <v>1</v>
      </c>
      <c r="E158" t="str">
        <f>IF(C158="","",VLOOKUP(C158,'Summ (F&amp;P Govn)'!A:O,2,FALSE))</f>
        <v>Rent and Rates</v>
      </c>
    </row>
    <row r="159" spans="1:5" ht="12.75">
      <c r="A159" s="290">
        <v>609</v>
      </c>
      <c r="B159" s="290" t="s">
        <v>221</v>
      </c>
      <c r="C159" s="139">
        <v>5300</v>
      </c>
      <c r="D159" s="138">
        <f>IF(A159="","",(COUNTIF(Workings!A:A,A159)))</f>
        <v>1</v>
      </c>
      <c r="E159" t="str">
        <f>IF(C159="","",VLOOKUP(C159,'Summ (F&amp;P Govn)'!A:O,2,FALSE))</f>
        <v>Other Income</v>
      </c>
    </row>
    <row r="160" spans="1:5" ht="12.75">
      <c r="A160" s="290">
        <v>611</v>
      </c>
      <c r="B160" s="290" t="s">
        <v>222</v>
      </c>
      <c r="C160" s="139">
        <v>1430</v>
      </c>
      <c r="D160" s="138">
        <f>IF(A160="","",(COUNTIF(Workings!A:A,A160)))</f>
        <v>1</v>
      </c>
      <c r="E160" t="str">
        <f>IF(C160="","",VLOOKUP(C160,'Summ (F&amp;P Govn)'!A:O,2,FALSE))</f>
        <v>Swimming Pool Repairs &amp; Maint.</v>
      </c>
    </row>
    <row r="161" spans="1:5" ht="12.75">
      <c r="A161" s="290">
        <v>612</v>
      </c>
      <c r="B161" s="290" t="s">
        <v>223</v>
      </c>
      <c r="C161" s="139">
        <v>1520</v>
      </c>
      <c r="D161" s="138">
        <f>IF(A161="","",(COUNTIF(Workings!A:A,A161)))</f>
        <v>1</v>
      </c>
      <c r="E161" t="str">
        <f>IF(C161="","",VLOOKUP(C161,'Summ (F&amp;P Govn)'!A:O,2,FALSE))</f>
        <v>Water</v>
      </c>
    </row>
    <row r="162" spans="1:5" ht="12.75">
      <c r="A162" s="292">
        <v>613</v>
      </c>
      <c r="B162" s="292" t="s">
        <v>224</v>
      </c>
      <c r="C162" s="139">
        <v>1510</v>
      </c>
      <c r="D162" s="138">
        <f>IF(A162="","",(COUNTIF(Workings!A:A,A162)))</f>
        <v>1</v>
      </c>
      <c r="E162" t="str">
        <f>IF(C162="","",VLOOKUP(C162,'Summ (F&amp;P Govn)'!A:O,2,FALSE))</f>
        <v>Fuel</v>
      </c>
    </row>
    <row r="163" spans="1:5" ht="12.75">
      <c r="A163" s="292">
        <v>614</v>
      </c>
      <c r="B163" s="292" t="s">
        <v>225</v>
      </c>
      <c r="C163" s="139">
        <v>1540</v>
      </c>
      <c r="D163" s="138">
        <f>IF(A163="","",(COUNTIF(Workings!A:A,A163)))</f>
        <v>0</v>
      </c>
      <c r="E163" t="str">
        <f>IF(C163="","",VLOOKUP(C163,'Summ (F&amp;P Govn)'!A:O,2,FALSE))</f>
        <v>Insurance</v>
      </c>
    </row>
    <row r="164" spans="1:5" ht="12.75">
      <c r="A164" s="292">
        <v>615</v>
      </c>
      <c r="B164" s="292" t="s">
        <v>226</v>
      </c>
      <c r="C164" s="139">
        <v>1540</v>
      </c>
      <c r="D164" s="138">
        <f>IF(A164="","",(COUNTIF(Workings!A:A,A164)))</f>
        <v>1</v>
      </c>
      <c r="E164" t="str">
        <f>IF(C164="","",VLOOKUP(C164,'Summ (F&amp;P Govn)'!A:O,2,FALSE))</f>
        <v>Insurance</v>
      </c>
    </row>
    <row r="165" spans="1:5" ht="12.75">
      <c r="A165" s="292" t="s">
        <v>227</v>
      </c>
      <c r="B165" s="292" t="s">
        <v>228</v>
      </c>
      <c r="C165" s="139">
        <v>1540</v>
      </c>
      <c r="D165" s="138">
        <f>IF(A165="","",(COUNTIF(Workings!A:A,A165)))</f>
        <v>1</v>
      </c>
      <c r="E165" t="str">
        <f>IF(C165="","",VLOOKUP(C165,'Summ (F&amp;P Govn)'!A:O,2,FALSE))</f>
        <v>Insurance</v>
      </c>
    </row>
    <row r="166" spans="1:5" ht="12.75">
      <c r="A166" s="290">
        <v>640</v>
      </c>
      <c r="B166" s="290" t="s">
        <v>229</v>
      </c>
      <c r="C166" s="139">
        <v>5300</v>
      </c>
      <c r="D166" s="138">
        <f>IF(A166="","",(COUNTIF(Workings!A:A,A166)))</f>
        <v>1</v>
      </c>
      <c r="E166" t="str">
        <f>IF(C166="","",VLOOKUP(C166,'Summ (F&amp;P Govn)'!A:O,2,FALSE))</f>
        <v>Other Income</v>
      </c>
    </row>
    <row r="167" spans="1:5" ht="12.75">
      <c r="A167" s="290" t="s">
        <v>230</v>
      </c>
      <c r="B167" s="290" t="s">
        <v>231</v>
      </c>
      <c r="C167" s="139">
        <v>3100</v>
      </c>
      <c r="D167" s="138">
        <f>IF(A167="","",(COUNTIF(Workings!A:A,A167)))</f>
        <v>1</v>
      </c>
      <c r="E167" t="str">
        <f>IF(C167="","",VLOOKUP(C167,'Summ (F&amp;P Govn)'!A:O,2,FALSE))</f>
        <v>Sports Hall Exp</v>
      </c>
    </row>
    <row r="168" spans="1:5" ht="12.75">
      <c r="A168" s="290">
        <v>649</v>
      </c>
      <c r="B168" s="290" t="s">
        <v>232</v>
      </c>
      <c r="C168" s="139">
        <v>6200</v>
      </c>
      <c r="D168" s="138">
        <f>IF(A168="","",(COUNTIF(Workings!A:A,A168)))</f>
        <v>1</v>
      </c>
      <c r="E168" t="str">
        <f>IF(C168="","",VLOOKUP(C168,'Summ (F&amp;P Govn)'!A:O,2,FALSE))</f>
        <v>Capital Income</v>
      </c>
    </row>
    <row r="169" spans="1:5" ht="12.75">
      <c r="A169" s="292">
        <v>650</v>
      </c>
      <c r="B169" s="292" t="s">
        <v>233</v>
      </c>
      <c r="C169" s="139">
        <v>9100</v>
      </c>
      <c r="D169" s="138">
        <f>IF(A169="","",(COUNTIF(Workings!A:A,A169)))</f>
        <v>1</v>
      </c>
      <c r="E169" t="str">
        <f>IF(C169="","",VLOOKUP(C169,'Summ (F&amp;P Govn)'!A:O,2,FALSE))</f>
        <v>Capital exp1</v>
      </c>
    </row>
    <row r="170" spans="1:5" ht="12.75">
      <c r="A170" s="290">
        <v>654</v>
      </c>
      <c r="B170" s="290" t="s">
        <v>234</v>
      </c>
      <c r="C170" s="139">
        <v>9100</v>
      </c>
      <c r="D170" s="138">
        <f>IF(A170="","",(COUNTIF(Workings!A:A,A170)))</f>
        <v>1</v>
      </c>
      <c r="E170" t="str">
        <f>IF(C170="","",VLOOKUP(C170,'Summ (F&amp;P Govn)'!A:O,2,FALSE))</f>
        <v>Capital exp1</v>
      </c>
    </row>
    <row r="171" spans="1:5" ht="12.75">
      <c r="A171" s="290">
        <v>670</v>
      </c>
      <c r="B171" s="290" t="s">
        <v>235</v>
      </c>
      <c r="C171" s="139">
        <v>9900</v>
      </c>
      <c r="D171" s="138">
        <f>IF(A171="","",(COUNTIF(Workings!A:A,A171)))</f>
        <v>1</v>
      </c>
      <c r="E171" t="str">
        <f>IF(C171="","",VLOOKUP(C171,'Summ (F&amp;P Govn)'!A:O,2,FALSE))</f>
        <v>Misc unallocated Control</v>
      </c>
    </row>
    <row r="172" spans="1:5" ht="12.75">
      <c r="A172" s="290">
        <v>700</v>
      </c>
      <c r="B172" s="290" t="s">
        <v>236</v>
      </c>
      <c r="C172" s="139">
        <v>9900</v>
      </c>
      <c r="D172" s="138">
        <f>IF(A172="","",(COUNTIF(Workings!A:A,A172)))</f>
        <v>0</v>
      </c>
      <c r="E172" t="str">
        <f>IF(C172="","",VLOOKUP(C172,'Summ (F&amp;P Govn)'!A:O,2,FALSE))</f>
        <v>Misc unallocated Control</v>
      </c>
    </row>
    <row r="173" spans="1:5" ht="12.75">
      <c r="A173" s="290">
        <v>701</v>
      </c>
      <c r="B173" s="290" t="s">
        <v>237</v>
      </c>
      <c r="C173" s="139">
        <v>9900</v>
      </c>
      <c r="D173" s="138">
        <f>IF(A173="","",(COUNTIF(Workings!A:A,A173)))</f>
        <v>0</v>
      </c>
      <c r="E173" t="str">
        <f>IF(C173="","",VLOOKUP(C173,'Summ (F&amp;P Govn)'!A:O,2,FALSE))</f>
        <v>Misc unallocated Control</v>
      </c>
    </row>
    <row r="174" spans="1:5" ht="12.75">
      <c r="A174" s="290" t="s">
        <v>238</v>
      </c>
      <c r="B174" s="290" t="s">
        <v>239</v>
      </c>
      <c r="C174" s="139">
        <v>5300</v>
      </c>
      <c r="D174" s="138">
        <f>IF(A174="","",(COUNTIF(Workings!A:A,A174)))</f>
        <v>1</v>
      </c>
      <c r="E174" t="str">
        <f>IF(C174="","",VLOOKUP(C174,'Summ (F&amp;P Govn)'!A:O,2,FALSE))</f>
        <v>Other Income</v>
      </c>
    </row>
    <row r="175" spans="1:5" ht="12.75">
      <c r="A175" s="290" t="s">
        <v>240</v>
      </c>
      <c r="B175" s="290" t="s">
        <v>241</v>
      </c>
      <c r="C175" s="139">
        <v>3000</v>
      </c>
      <c r="D175" s="138">
        <f>IF(A175="","",(COUNTIF(Workings!A:A,A175)))</f>
        <v>1</v>
      </c>
      <c r="E175" t="str">
        <f>IF(C175="","",VLOOKUP(C175,'Summ (F&amp;P Govn)'!A:O,2,FALSE))</f>
        <v>Astro Pitch</v>
      </c>
    </row>
    <row r="176" spans="1:5" ht="12.75">
      <c r="A176" s="290" t="s">
        <v>242</v>
      </c>
      <c r="B176" s="290" t="s">
        <v>243</v>
      </c>
      <c r="C176" s="139">
        <v>3000</v>
      </c>
      <c r="D176" s="138">
        <f>IF(A176="","",(COUNTIF(Workings!A:A,A176)))</f>
        <v>1</v>
      </c>
      <c r="E176" t="str">
        <f>IF(C176="","",VLOOKUP(C176,'Summ (F&amp;P Govn)'!A:O,2,FALSE))</f>
        <v>Astro Pitch</v>
      </c>
    </row>
    <row r="177" spans="1:5" ht="12.75">
      <c r="A177" s="290" t="s">
        <v>244</v>
      </c>
      <c r="B177" s="290" t="s">
        <v>245</v>
      </c>
      <c r="C177" s="139">
        <v>9900</v>
      </c>
      <c r="D177" s="138">
        <f>IF(A177="","",(COUNTIF(Workings!A:A,A177)))</f>
        <v>1</v>
      </c>
      <c r="E177" t="str">
        <f>IF(C177="","",VLOOKUP(C177,'Summ (F&amp;P Govn)'!A:O,2,FALSE))</f>
        <v>Misc unallocated Control</v>
      </c>
    </row>
    <row r="178" spans="1:5" ht="12.75">
      <c r="A178" s="290" t="s">
        <v>246</v>
      </c>
      <c r="B178" s="290" t="s">
        <v>247</v>
      </c>
      <c r="C178" s="139">
        <v>9900</v>
      </c>
      <c r="D178" s="138">
        <f>IF(A178="","",(COUNTIF(Workings!A:A,A178)))</f>
        <v>0</v>
      </c>
      <c r="E178" t="str">
        <f>IF(C178="","",VLOOKUP(C178,'Summ (F&amp;P Govn)'!A:O,2,FALSE))</f>
        <v>Misc unallocated Control</v>
      </c>
    </row>
    <row r="179" spans="1:5" ht="12.75">
      <c r="A179" s="290" t="s">
        <v>248</v>
      </c>
      <c r="B179" s="290" t="s">
        <v>249</v>
      </c>
      <c r="C179" s="139">
        <v>2200</v>
      </c>
      <c r="D179" s="138">
        <f>IF(A179="","",(COUNTIF(Workings!A:A,A179)))</f>
        <v>1</v>
      </c>
      <c r="E179" t="str">
        <f>IF(C179="","",VLOOKUP(C179,'Summ (F&amp;P Govn)'!A:O,2,FALSE))</f>
        <v>Other Employees Expenses</v>
      </c>
    </row>
    <row r="180" spans="1:5" ht="12.75">
      <c r="A180" s="290" t="s">
        <v>250</v>
      </c>
      <c r="B180" s="290" t="s">
        <v>251</v>
      </c>
      <c r="C180" s="139">
        <v>2200</v>
      </c>
      <c r="D180" s="138">
        <f>IF(A180="","",(COUNTIF(Workings!A:A,A180)))</f>
        <v>1</v>
      </c>
      <c r="E180" t="str">
        <f>IF(C180="","",VLOOKUP(C180,'Summ (F&amp;P Govn)'!A:O,2,FALSE))</f>
        <v>Other Employees Expenses</v>
      </c>
    </row>
    <row r="181" spans="1:5" ht="12.75">
      <c r="A181" s="290" t="s">
        <v>252</v>
      </c>
      <c r="B181" s="290" t="s">
        <v>253</v>
      </c>
      <c r="C181" s="139">
        <v>1250</v>
      </c>
      <c r="D181" s="138">
        <f>IF(A181="","",(COUNTIF(Workings!A:A,A181)))</f>
        <v>1</v>
      </c>
      <c r="E181" t="str">
        <f>IF(C181="","",VLOOKUP(C181,'Summ (F&amp;P Govn)'!A:O,2,FALSE))</f>
        <v>Other Funded Staff</v>
      </c>
    </row>
    <row r="182" spans="1:5" ht="12.75">
      <c r="A182" s="290" t="s">
        <v>254</v>
      </c>
      <c r="B182" s="290" t="s">
        <v>255</v>
      </c>
      <c r="C182" s="139">
        <v>5300</v>
      </c>
      <c r="D182" s="138">
        <f>IF(A182="","",(COUNTIF(Workings!A:A,A182)))</f>
        <v>1</v>
      </c>
      <c r="E182" t="str">
        <f>IF(C182="","",VLOOKUP(C182,'Summ (F&amp;P Govn)'!A:O,2,FALSE))</f>
        <v>Other Income</v>
      </c>
    </row>
    <row r="183" spans="1:5" ht="12.75">
      <c r="A183" s="290" t="s">
        <v>256</v>
      </c>
      <c r="B183" s="290" t="s">
        <v>257</v>
      </c>
      <c r="C183" s="139">
        <v>5300</v>
      </c>
      <c r="D183" s="138">
        <f>IF(A183="","",(COUNTIF(Workings!A:A,A183)))</f>
        <v>1</v>
      </c>
      <c r="E183" t="str">
        <f>IF(C183="","",VLOOKUP(C183,'Summ (F&amp;P Govn)'!A:O,2,FALSE))</f>
        <v>Other Income</v>
      </c>
    </row>
    <row r="184" spans="1:5" ht="12.75">
      <c r="A184" s="290" t="s">
        <v>258</v>
      </c>
      <c r="B184" s="290" t="s">
        <v>259</v>
      </c>
      <c r="C184" s="139">
        <v>5300</v>
      </c>
      <c r="D184" s="138">
        <f>IF(A184="","",(COUNTIF(Workings!A:A,A184)))</f>
        <v>0</v>
      </c>
      <c r="E184" t="str">
        <f>IF(C184="","",VLOOKUP(C184,'Summ (F&amp;P Govn)'!A:O,2,FALSE))</f>
        <v>Other Income</v>
      </c>
    </row>
    <row r="185" spans="1:5" ht="12.75">
      <c r="A185" s="290" t="s">
        <v>260</v>
      </c>
      <c r="B185" s="290" t="s">
        <v>261</v>
      </c>
      <c r="C185" s="139">
        <v>1250</v>
      </c>
      <c r="D185" s="138">
        <f>IF(A185="","",(COUNTIF(Workings!A:A,A185)))</f>
        <v>0</v>
      </c>
      <c r="E185" t="str">
        <f>IF(C185="","",VLOOKUP(C185,'Summ (F&amp;P Govn)'!A:O,2,FALSE))</f>
        <v>Other Funded Staff</v>
      </c>
    </row>
    <row r="186" spans="1:5" ht="12.75">
      <c r="A186" s="290" t="s">
        <v>262</v>
      </c>
      <c r="B186" s="290" t="s">
        <v>263</v>
      </c>
      <c r="C186" s="139">
        <v>5300</v>
      </c>
      <c r="D186" s="138">
        <f>IF(A186="","",(COUNTIF(Workings!A:A,A186)))</f>
        <v>1</v>
      </c>
      <c r="E186" t="str">
        <f>IF(C186="","",VLOOKUP(C186,'Summ (F&amp;P Govn)'!A:O,2,FALSE))</f>
        <v>Other Income</v>
      </c>
    </row>
    <row r="187" spans="1:5" ht="12.75">
      <c r="A187" s="290" t="s">
        <v>264</v>
      </c>
      <c r="B187" s="290" t="s">
        <v>265</v>
      </c>
      <c r="C187" s="139">
        <v>5300</v>
      </c>
      <c r="D187" s="138">
        <f>IF(A187="","",(COUNTIF(Workings!A:A,A187)))</f>
        <v>1</v>
      </c>
      <c r="E187" t="str">
        <f>IF(C187="","",VLOOKUP(C187,'Summ (F&amp;P Govn)'!A:O,2,FALSE))</f>
        <v>Other Income</v>
      </c>
    </row>
    <row r="188" spans="1:5" ht="12.75">
      <c r="A188" s="290" t="s">
        <v>266</v>
      </c>
      <c r="B188" s="290" t="s">
        <v>267</v>
      </c>
      <c r="C188" s="139">
        <v>5300</v>
      </c>
      <c r="D188" s="138">
        <f>IF(A188="","",(COUNTIF(Workings!A:A,A188)))</f>
        <v>1</v>
      </c>
      <c r="E188" t="str">
        <f>IF(C188="","",VLOOKUP(C188,'Summ (F&amp;P Govn)'!A:O,2,FALSE))</f>
        <v>Other Income</v>
      </c>
    </row>
    <row r="189" spans="1:5" ht="12.75">
      <c r="A189" s="290" t="s">
        <v>268</v>
      </c>
      <c r="B189" s="290" t="s">
        <v>269</v>
      </c>
      <c r="C189" s="139">
        <v>1250</v>
      </c>
      <c r="D189" s="138">
        <f>IF(A189="","",(COUNTIF(Workings!A:A,A189)))</f>
        <v>1</v>
      </c>
      <c r="E189" t="str">
        <f>IF(C189="","",VLOOKUP(C189,'Summ (F&amp;P Govn)'!A:O,2,FALSE))</f>
        <v>Other Funded Staff</v>
      </c>
    </row>
    <row r="190" spans="1:5" ht="12.75">
      <c r="A190" s="290" t="s">
        <v>270</v>
      </c>
      <c r="B190" s="290" t="s">
        <v>271</v>
      </c>
      <c r="C190" s="139">
        <v>1250</v>
      </c>
      <c r="D190" s="138">
        <f>IF(A190="","",(COUNTIF(Workings!A:A,A190)))</f>
        <v>1</v>
      </c>
      <c r="E190" t="str">
        <f>IF(C190="","",VLOOKUP(C190,'Summ (F&amp;P Govn)'!A:O,2,FALSE))</f>
        <v>Other Funded Staff</v>
      </c>
    </row>
    <row r="191" spans="1:5" ht="12.75">
      <c r="A191" s="290" t="s">
        <v>272</v>
      </c>
      <c r="B191" s="290" t="s">
        <v>273</v>
      </c>
      <c r="C191" s="139">
        <v>2200</v>
      </c>
      <c r="D191" s="138">
        <f>IF(A191="","",(COUNTIF(Workings!A:A,A191)))</f>
        <v>0</v>
      </c>
      <c r="E191" t="str">
        <f>IF(C191="","",VLOOKUP(C191,'Summ (F&amp;P Govn)'!A:O,2,FALSE))</f>
        <v>Other Employees Expenses</v>
      </c>
    </row>
    <row r="192" spans="1:5" ht="12.75">
      <c r="A192" s="290" t="s">
        <v>274</v>
      </c>
      <c r="B192" s="290" t="s">
        <v>275</v>
      </c>
      <c r="C192" s="139">
        <v>5300</v>
      </c>
      <c r="D192" s="138">
        <f>IF(A192="","",(COUNTIF(Workings!A:A,A192)))</f>
        <v>0</v>
      </c>
      <c r="E192" t="str">
        <f>IF(C192="","",VLOOKUP(C192,'Summ (F&amp;P Govn)'!A:O,2,FALSE))</f>
        <v>Other Income</v>
      </c>
    </row>
    <row r="193" spans="1:5" ht="12.75">
      <c r="A193" s="290" t="s">
        <v>276</v>
      </c>
      <c r="B193" s="290" t="s">
        <v>277</v>
      </c>
      <c r="C193" s="139">
        <v>5300</v>
      </c>
      <c r="D193" s="138">
        <f>IF(A193="","",(COUNTIF(Workings!A:A,A193)))</f>
        <v>0</v>
      </c>
      <c r="E193" t="str">
        <f>IF(C193="","",VLOOKUP(C193,'Summ (F&amp;P Govn)'!A:O,2,FALSE))</f>
        <v>Other Income</v>
      </c>
    </row>
    <row r="194" spans="1:5" ht="12.75">
      <c r="A194" s="290" t="s">
        <v>278</v>
      </c>
      <c r="B194" s="290" t="s">
        <v>279</v>
      </c>
      <c r="C194" s="139">
        <v>5300</v>
      </c>
      <c r="D194" s="138">
        <f>IF(A194="","",(COUNTIF(Workings!A:A,A194)))</f>
        <v>1</v>
      </c>
      <c r="E194" t="str">
        <f>IF(C194="","",VLOOKUP(C194,'Summ (F&amp;P Govn)'!A:O,2,FALSE))</f>
        <v>Other Income</v>
      </c>
    </row>
    <row r="195" spans="1:5" ht="12.75">
      <c r="A195" s="290" t="s">
        <v>280</v>
      </c>
      <c r="B195" s="290" t="s">
        <v>281</v>
      </c>
      <c r="C195" s="139">
        <v>5300</v>
      </c>
      <c r="D195" s="138">
        <f>IF(A195="","",(COUNTIF(Workings!A:A,A195)))</f>
        <v>0</v>
      </c>
      <c r="E195" t="str">
        <f>IF(C195="","",VLOOKUP(C195,'Summ (F&amp;P Govn)'!A:O,2,FALSE))</f>
        <v>Other Income</v>
      </c>
    </row>
    <row r="196" spans="1:5" ht="12.75">
      <c r="A196" s="290" t="s">
        <v>282</v>
      </c>
      <c r="B196" s="290" t="s">
        <v>283</v>
      </c>
      <c r="C196" s="139">
        <v>5300</v>
      </c>
      <c r="D196" s="138">
        <f>IF(A196="","",(COUNTIF(Workings!A:A,A196)))</f>
        <v>1</v>
      </c>
      <c r="E196" t="str">
        <f>IF(C196="","",VLOOKUP(C196,'Summ (F&amp;P Govn)'!A:O,2,FALSE))</f>
        <v>Other Income</v>
      </c>
    </row>
    <row r="197" spans="1:5" ht="12.75">
      <c r="A197" s="290" t="s">
        <v>284</v>
      </c>
      <c r="B197" s="290" t="s">
        <v>285</v>
      </c>
      <c r="C197" s="139">
        <v>1650</v>
      </c>
      <c r="D197" s="138">
        <f>IF(A197="","",(COUNTIF(Workings!A:A,A197)))</f>
        <v>1</v>
      </c>
      <c r="E197" t="str">
        <f>IF(C197="","",VLOOKUP(C197,'Summ (F&amp;P Govn)'!A:O,2,FALSE))</f>
        <v>Other Educational </v>
      </c>
    </row>
    <row r="198" spans="1:5" ht="12.75">
      <c r="A198" s="290" t="s">
        <v>286</v>
      </c>
      <c r="B198" s="290" t="s">
        <v>287</v>
      </c>
      <c r="C198" s="139">
        <v>5300</v>
      </c>
      <c r="D198" s="138">
        <f>IF(A198="","",(COUNTIF(Workings!A:A,A198)))</f>
        <v>1</v>
      </c>
      <c r="E198" t="str">
        <f>IF(C198="","",VLOOKUP(C198,'Summ (F&amp;P Govn)'!A:O,2,FALSE))</f>
        <v>Other Income</v>
      </c>
    </row>
    <row r="199" spans="1:5" ht="12.75">
      <c r="A199" s="290" t="s">
        <v>288</v>
      </c>
      <c r="B199" s="290" t="s">
        <v>289</v>
      </c>
      <c r="C199" s="139">
        <v>1650</v>
      </c>
      <c r="D199" s="138">
        <f>IF(A199="","",(COUNTIF(Workings!A:A,A199)))</f>
        <v>1</v>
      </c>
      <c r="E199" t="str">
        <f>IF(C199="","",VLOOKUP(C199,'Summ (F&amp;P Govn)'!A:O,2,FALSE))</f>
        <v>Other Educational </v>
      </c>
    </row>
    <row r="200" spans="1:5" ht="12.75">
      <c r="A200" s="290" t="s">
        <v>290</v>
      </c>
      <c r="B200" s="290" t="s">
        <v>291</v>
      </c>
      <c r="C200" s="139">
        <v>1650</v>
      </c>
      <c r="D200" s="138">
        <f>IF(A200="","",(COUNTIF(Workings!A:A,A200)))</f>
        <v>1</v>
      </c>
      <c r="E200" t="str">
        <f>IF(C200="","",VLOOKUP(C200,'Summ (F&amp;P Govn)'!A:O,2,FALSE))</f>
        <v>Other Educational </v>
      </c>
    </row>
    <row r="201" spans="1:5" ht="12.75">
      <c r="A201" s="290" t="s">
        <v>292</v>
      </c>
      <c r="B201" s="290" t="s">
        <v>293</v>
      </c>
      <c r="C201" s="139">
        <v>5300</v>
      </c>
      <c r="D201" s="138">
        <f>IF(A201="","",(COUNTIF(Workings!A:A,A201)))</f>
        <v>1</v>
      </c>
      <c r="E201" t="str">
        <f>IF(C201="","",VLOOKUP(C201,'Summ (F&amp;P Govn)'!A:O,2,FALSE))</f>
        <v>Other Income</v>
      </c>
    </row>
    <row r="202" spans="1:5" ht="12.75">
      <c r="A202" s="292" t="s">
        <v>294</v>
      </c>
      <c r="B202" s="292" t="s">
        <v>295</v>
      </c>
      <c r="C202" s="139">
        <v>9900</v>
      </c>
      <c r="D202" s="138">
        <f>IF(A202="","",(COUNTIF(Workings!A:A,A202)))</f>
        <v>0</v>
      </c>
      <c r="E202" t="str">
        <f>IF(C202="","",VLOOKUP(C202,'Summ (F&amp;P Govn)'!A:O,2,FALSE))</f>
        <v>Misc unallocated Control</v>
      </c>
    </row>
    <row r="203" spans="1:5" ht="12.75">
      <c r="A203" s="290" t="s">
        <v>296</v>
      </c>
      <c r="B203" s="290" t="s">
        <v>297</v>
      </c>
      <c r="C203" s="139">
        <v>4000</v>
      </c>
      <c r="D203" s="138">
        <f>IF(A203="","",(COUNTIF(Workings!A:A,A203)))</f>
        <v>1</v>
      </c>
      <c r="E203" t="str">
        <f>IF(C203="","",VLOOKUP(C203,'Summ (F&amp;P Govn)'!A:O,2,FALSE))</f>
        <v>Trips</v>
      </c>
    </row>
    <row r="204" spans="1:5" ht="12.75">
      <c r="A204" s="290" t="s">
        <v>298</v>
      </c>
      <c r="B204" s="290" t="s">
        <v>299</v>
      </c>
      <c r="C204" s="139">
        <v>4000</v>
      </c>
      <c r="D204" s="138">
        <f>IF(A204="","",(COUNTIF(Workings!A:A,A204)))</f>
        <v>1</v>
      </c>
      <c r="E204" t="str">
        <f>IF(C204="","",VLOOKUP(C204,'Summ (F&amp;P Govn)'!A:O,2,FALSE))</f>
        <v>Trips</v>
      </c>
    </row>
    <row r="205" spans="1:5" ht="12.75">
      <c r="A205" s="292" t="s">
        <v>300</v>
      </c>
      <c r="B205" s="292" t="s">
        <v>301</v>
      </c>
      <c r="C205" s="139">
        <v>4000</v>
      </c>
      <c r="D205" s="138">
        <f>IF(A205="","",(COUNTIF(Workings!A:A,A205)))</f>
        <v>1</v>
      </c>
      <c r="E205" t="str">
        <f>IF(C205="","",VLOOKUP(C205,'Summ (F&amp;P Govn)'!A:O,2,FALSE))</f>
        <v>Trips</v>
      </c>
    </row>
    <row r="206" spans="1:5" ht="12.75">
      <c r="A206" s="292" t="s">
        <v>302</v>
      </c>
      <c r="B206" s="292" t="s">
        <v>303</v>
      </c>
      <c r="C206" s="139">
        <v>4000</v>
      </c>
      <c r="D206" s="138">
        <f>IF(A206="","",(COUNTIF(Workings!A:A,A206)))</f>
        <v>1</v>
      </c>
      <c r="E206" t="str">
        <f>IF(C206="","",VLOOKUP(C206,'Summ (F&amp;P Govn)'!A:O,2,FALSE))</f>
        <v>Trips</v>
      </c>
    </row>
    <row r="207" spans="1:5" ht="12.75">
      <c r="A207" s="290" t="s">
        <v>304</v>
      </c>
      <c r="B207" s="290" t="s">
        <v>305</v>
      </c>
      <c r="C207" s="139">
        <v>4000</v>
      </c>
      <c r="D207" s="138">
        <f>IF(A207="","",(COUNTIF(Workings!A:A,A207)))</f>
        <v>1</v>
      </c>
      <c r="E207" t="str">
        <f>IF(C207="","",VLOOKUP(C207,'Summ (F&amp;P Govn)'!A:O,2,FALSE))</f>
        <v>Trips</v>
      </c>
    </row>
    <row r="208" spans="1:5" ht="12.75">
      <c r="A208" s="290"/>
      <c r="B208" s="290"/>
      <c r="C208" s="139"/>
      <c r="D208" s="138">
        <f>IF(A208="","",(COUNTIF(Workings!A:A,A208)))</f>
      </c>
      <c r="E208">
        <f>IF(C208="","",VLOOKUP(C208,'Summ (F&amp;P Govn)'!A:O,2,FALSE))</f>
      </c>
    </row>
    <row r="209" spans="1:5" ht="12.75">
      <c r="A209" s="290" t="s">
        <v>308</v>
      </c>
      <c r="B209" s="290" t="s">
        <v>309</v>
      </c>
      <c r="C209" s="139">
        <v>4000</v>
      </c>
      <c r="D209" s="138">
        <f>IF(A209="","",(COUNTIF(Workings!A:A,A209)))</f>
        <v>1</v>
      </c>
      <c r="E209" t="str">
        <f>IF(C209="","",VLOOKUP(C209,'Summ (F&amp;P Govn)'!A:O,2,FALSE))</f>
        <v>Trips</v>
      </c>
    </row>
    <row r="210" spans="1:5" ht="12.75">
      <c r="A210" s="290" t="s">
        <v>310</v>
      </c>
      <c r="B210" s="290" t="s">
        <v>311</v>
      </c>
      <c r="C210" s="139">
        <v>4000</v>
      </c>
      <c r="D210" s="138">
        <f>IF(A210="","",(COUNTIF(Workings!A:A,A210)))</f>
        <v>1</v>
      </c>
      <c r="E210" t="str">
        <f>IF(C210="","",VLOOKUP(C210,'Summ (F&amp;P Govn)'!A:O,2,FALSE))</f>
        <v>Trips</v>
      </c>
    </row>
    <row r="211" spans="1:5" ht="12.75">
      <c r="A211" s="290" t="s">
        <v>312</v>
      </c>
      <c r="B211" s="290" t="s">
        <v>313</v>
      </c>
      <c r="C211" s="139">
        <v>4000</v>
      </c>
      <c r="D211" s="138">
        <f>IF(A211="","",(COUNTIF(Workings!A:A,A211)))</f>
        <v>1</v>
      </c>
      <c r="E211" t="str">
        <f>IF(C211="","",VLOOKUP(C211,'Summ (F&amp;P Govn)'!A:O,2,FALSE))</f>
        <v>Trips</v>
      </c>
    </row>
    <row r="212" spans="1:5" ht="12.75">
      <c r="A212" s="290" t="s">
        <v>314</v>
      </c>
      <c r="B212" s="290" t="s">
        <v>315</v>
      </c>
      <c r="C212" s="139">
        <v>4000</v>
      </c>
      <c r="D212" s="138">
        <f>IF(A212="","",(COUNTIF(Workings!A:A,A212)))</f>
        <v>1</v>
      </c>
      <c r="E212" t="str">
        <f>IF(C212="","",VLOOKUP(C212,'Summ (F&amp;P Govn)'!A:O,2,FALSE))</f>
        <v>Trips</v>
      </c>
    </row>
    <row r="213" spans="1:5" ht="12.75">
      <c r="A213" s="290" t="s">
        <v>316</v>
      </c>
      <c r="B213" s="290" t="s">
        <v>317</v>
      </c>
      <c r="C213" s="139">
        <v>4000</v>
      </c>
      <c r="D213" s="138">
        <f>IF(A213="","",(COUNTIF(Workings!A:A,A213)))</f>
        <v>1</v>
      </c>
      <c r="E213" t="str">
        <f>IF(C213="","",VLOOKUP(C213,'Summ (F&amp;P Govn)'!A:O,2,FALSE))</f>
        <v>Trips</v>
      </c>
    </row>
    <row r="214" spans="1:5" ht="12.75">
      <c r="A214" s="290" t="s">
        <v>318</v>
      </c>
      <c r="B214" s="290" t="s">
        <v>319</v>
      </c>
      <c r="C214" s="139">
        <v>4000</v>
      </c>
      <c r="D214" s="138">
        <f>IF(A214="","",(COUNTIF(Workings!A:A,A214)))</f>
        <v>1</v>
      </c>
      <c r="E214" t="str">
        <f>IF(C214="","",VLOOKUP(C214,'Summ (F&amp;P Govn)'!A:O,2,FALSE))</f>
        <v>Trips</v>
      </c>
    </row>
    <row r="215" spans="1:5" ht="12.75">
      <c r="A215" s="290"/>
      <c r="B215" s="290"/>
      <c r="C215" s="139"/>
      <c r="D215" s="138">
        <f>IF(A215="","",(COUNTIF(Workings!A:A,A215)))</f>
      </c>
      <c r="E215">
        <f>IF(C215="","",VLOOKUP(C215,'Summ (F&amp;P Govn)'!A:O,2,FALSE))</f>
      </c>
    </row>
    <row r="216" spans="1:5" ht="12.75">
      <c r="A216" s="290"/>
      <c r="B216" s="290"/>
      <c r="C216" s="139"/>
      <c r="D216" s="138">
        <f>IF(A216="","",(COUNTIF(Workings!A:A,A216)))</f>
      </c>
      <c r="E216">
        <f>IF(C216="","",VLOOKUP(C216,'Summ (F&amp;P Govn)'!A:O,2,FALSE))</f>
      </c>
    </row>
    <row r="217" spans="1:5" ht="12.75">
      <c r="A217" s="290" t="s">
        <v>324</v>
      </c>
      <c r="B217" s="290" t="s">
        <v>325</v>
      </c>
      <c r="C217" s="139">
        <v>4000</v>
      </c>
      <c r="D217" s="138">
        <f>IF(A217="","",(COUNTIF(Workings!A:A,A217)))</f>
        <v>1</v>
      </c>
      <c r="E217" t="str">
        <f>IF(C217="","",VLOOKUP(C217,'Summ (F&amp;P Govn)'!A:O,2,FALSE))</f>
        <v>Trips</v>
      </c>
    </row>
    <row r="218" spans="1:5" ht="12.75">
      <c r="A218" s="290" t="s">
        <v>326</v>
      </c>
      <c r="B218" s="290" t="s">
        <v>327</v>
      </c>
      <c r="C218" s="139">
        <v>4000</v>
      </c>
      <c r="D218" s="138">
        <f>IF(A218="","",(COUNTIF(Workings!A:A,A218)))</f>
        <v>1</v>
      </c>
      <c r="E218" t="str">
        <f>IF(C218="","",VLOOKUP(C218,'Summ (F&amp;P Govn)'!A:O,2,FALSE))</f>
        <v>Trips</v>
      </c>
    </row>
    <row r="219" spans="1:5" ht="12.75">
      <c r="A219" s="290"/>
      <c r="B219" s="290"/>
      <c r="C219" s="139"/>
      <c r="D219" s="138">
        <f>IF(A219="","",(COUNTIF(Workings!A:A,A219)))</f>
      </c>
      <c r="E219">
        <f>IF(C219="","",VLOOKUP(C219,'Summ (F&amp;P Govn)'!A:O,2,FALSE))</f>
      </c>
    </row>
    <row r="220" spans="1:5" ht="12.75">
      <c r="A220" s="290" t="s">
        <v>330</v>
      </c>
      <c r="B220" s="290" t="s">
        <v>331</v>
      </c>
      <c r="C220" s="139">
        <v>4000</v>
      </c>
      <c r="D220" s="138">
        <f>IF(A220="","",(COUNTIF(Workings!A:A,A220)))</f>
        <v>1</v>
      </c>
      <c r="E220" t="str">
        <f>IF(C220="","",VLOOKUP(C220,'Summ (F&amp;P Govn)'!A:O,2,FALSE))</f>
        <v>Trips</v>
      </c>
    </row>
    <row r="221" spans="1:5" ht="12.75">
      <c r="A221" s="290" t="s">
        <v>332</v>
      </c>
      <c r="B221" s="290" t="s">
        <v>333</v>
      </c>
      <c r="C221" s="139">
        <v>4000</v>
      </c>
      <c r="D221" s="138">
        <f>IF(A221="","",(COUNTIF(Workings!A:A,A221)))</f>
        <v>1</v>
      </c>
      <c r="E221" t="str">
        <f>IF(C221="","",VLOOKUP(C221,'Summ (F&amp;P Govn)'!A:O,2,FALSE))</f>
        <v>Trips</v>
      </c>
    </row>
    <row r="222" spans="1:5" ht="12.75">
      <c r="A222" s="290" t="s">
        <v>334</v>
      </c>
      <c r="B222" s="290" t="s">
        <v>335</v>
      </c>
      <c r="C222" s="139">
        <v>4000</v>
      </c>
      <c r="D222" s="138">
        <f>IF(A222="","",(COUNTIF(Workings!A:A,A222)))</f>
        <v>1</v>
      </c>
      <c r="E222" t="str">
        <f>IF(C222="","",VLOOKUP(C222,'Summ (F&amp;P Govn)'!A:O,2,FALSE))</f>
        <v>Trips</v>
      </c>
    </row>
    <row r="223" spans="1:5" ht="12.75">
      <c r="A223" s="290" t="s">
        <v>336</v>
      </c>
      <c r="B223" s="290" t="s">
        <v>337</v>
      </c>
      <c r="C223" s="139">
        <v>4000</v>
      </c>
      <c r="D223" s="138">
        <f>IF(A223="","",(COUNTIF(Workings!A:A,A223)))</f>
        <v>1</v>
      </c>
      <c r="E223" t="str">
        <f>IF(C223="","",VLOOKUP(C223,'Summ (F&amp;P Govn)'!A:O,2,FALSE))</f>
        <v>Trips</v>
      </c>
    </row>
    <row r="224" spans="1:5" ht="12.75">
      <c r="A224" s="290" t="s">
        <v>338</v>
      </c>
      <c r="B224" s="290" t="s">
        <v>339</v>
      </c>
      <c r="C224" s="139">
        <v>4000</v>
      </c>
      <c r="D224" s="138">
        <f>IF(A224="","",(COUNTIF(Workings!A:A,A224)))</f>
        <v>1</v>
      </c>
      <c r="E224" t="str">
        <f>IF(C224="","",VLOOKUP(C224,'Summ (F&amp;P Govn)'!A:O,2,FALSE))</f>
        <v>Trips</v>
      </c>
    </row>
    <row r="225" spans="1:5" ht="12.75">
      <c r="A225" s="290" t="s">
        <v>340</v>
      </c>
      <c r="B225" s="290" t="s">
        <v>341</v>
      </c>
      <c r="C225" s="139">
        <v>4000</v>
      </c>
      <c r="D225" s="138">
        <f>IF(A225="","",(COUNTIF(Workings!A:A,A225)))</f>
        <v>1</v>
      </c>
      <c r="E225" t="str">
        <f>IF(C225="","",VLOOKUP(C225,'Summ (F&amp;P Govn)'!A:O,2,FALSE))</f>
        <v>Trips</v>
      </c>
    </row>
    <row r="226" spans="1:5" ht="12.75">
      <c r="A226" s="290"/>
      <c r="B226" s="290"/>
      <c r="C226" s="139"/>
      <c r="D226" s="138">
        <f>IF(A226="","",(COUNTIF(Workings!A:A,A226)))</f>
      </c>
      <c r="E226">
        <f>IF(C226="","",VLOOKUP(C226,'Summ (F&amp;P Govn)'!A:O,2,FALSE))</f>
      </c>
    </row>
    <row r="227" spans="1:5" ht="12.75">
      <c r="A227" s="290" t="s">
        <v>344</v>
      </c>
      <c r="B227" s="290" t="s">
        <v>345</v>
      </c>
      <c r="C227" s="139">
        <v>4000</v>
      </c>
      <c r="D227" s="138">
        <f>IF(A227="","",(COUNTIF(Workings!A:A,A227)))</f>
        <v>1</v>
      </c>
      <c r="E227" t="str">
        <f>IF(C227="","",VLOOKUP(C227,'Summ (F&amp;P Govn)'!A:O,2,FALSE))</f>
        <v>Trips</v>
      </c>
    </row>
    <row r="228" spans="1:5" ht="12.75">
      <c r="A228" s="290" t="s">
        <v>346</v>
      </c>
      <c r="B228" s="290" t="s">
        <v>347</v>
      </c>
      <c r="C228" s="139">
        <v>4000</v>
      </c>
      <c r="D228" s="138">
        <f>IF(A228="","",(COUNTIF(Workings!A:A,A228)))</f>
        <v>1</v>
      </c>
      <c r="E228" t="str">
        <f>IF(C228="","",VLOOKUP(C228,'Summ (F&amp;P Govn)'!A:O,2,FALSE))</f>
        <v>Trips</v>
      </c>
    </row>
    <row r="229" spans="1:5" ht="12.75">
      <c r="A229" s="290" t="s">
        <v>348</v>
      </c>
      <c r="B229" s="290" t="s">
        <v>349</v>
      </c>
      <c r="C229" s="139">
        <v>4000</v>
      </c>
      <c r="D229" s="138">
        <f>IF(A229="","",(COUNTIF(Workings!A:A,A229)))</f>
        <v>1</v>
      </c>
      <c r="E229" t="str">
        <f>IF(C229="","",VLOOKUP(C229,'Summ (F&amp;P Govn)'!A:O,2,FALSE))</f>
        <v>Trips</v>
      </c>
    </row>
    <row r="230" spans="1:5" ht="12.75">
      <c r="A230" s="290" t="s">
        <v>350</v>
      </c>
      <c r="B230" s="290" t="s">
        <v>351</v>
      </c>
      <c r="C230" s="139">
        <v>4000</v>
      </c>
      <c r="D230" s="138">
        <f>IF(A230="","",(COUNTIF(Workings!A:A,A230)))</f>
        <v>0</v>
      </c>
      <c r="E230" t="str">
        <f>IF(C230="","",VLOOKUP(C230,'Summ (F&amp;P Govn)'!A:O,2,FALSE))</f>
        <v>Trips</v>
      </c>
    </row>
    <row r="231" spans="1:5" ht="12.75">
      <c r="A231" s="290" t="s">
        <v>352</v>
      </c>
      <c r="B231" s="290" t="s">
        <v>353</v>
      </c>
      <c r="C231" s="139">
        <v>4000</v>
      </c>
      <c r="D231" s="138">
        <f>IF(A231="","",(COUNTIF(Workings!A:A,A231)))</f>
        <v>0</v>
      </c>
      <c r="E231" t="str">
        <f>IF(C231="","",VLOOKUP(C231,'Summ (F&amp;P Govn)'!A:O,2,FALSE))</f>
        <v>Trips</v>
      </c>
    </row>
    <row r="232" spans="1:5" ht="12.75">
      <c r="A232" s="290" t="s">
        <v>354</v>
      </c>
      <c r="B232" s="290" t="s">
        <v>355</v>
      </c>
      <c r="C232" s="139">
        <v>4000</v>
      </c>
      <c r="D232" s="138">
        <f>IF(A232="","",(COUNTIF(Workings!A:A,A232)))</f>
        <v>1</v>
      </c>
      <c r="E232" t="str">
        <f>IF(C232="","",VLOOKUP(C232,'Summ (F&amp;P Govn)'!A:O,2,FALSE))</f>
        <v>Trips</v>
      </c>
    </row>
    <row r="233" spans="1:5" ht="12.75">
      <c r="A233" s="290" t="s">
        <v>356</v>
      </c>
      <c r="B233" s="290" t="s">
        <v>357</v>
      </c>
      <c r="C233" s="139">
        <v>4000</v>
      </c>
      <c r="D233" s="138">
        <f>IF(A233="","",(COUNTIF(Workings!A:A,A233)))</f>
        <v>0</v>
      </c>
      <c r="E233" t="str">
        <f>IF(C233="","",VLOOKUP(C233,'Summ (F&amp;P Govn)'!A:O,2,FALSE))</f>
        <v>Trips</v>
      </c>
    </row>
    <row r="234" spans="1:5" ht="12.75">
      <c r="A234" s="290" t="s">
        <v>358</v>
      </c>
      <c r="B234" s="290" t="s">
        <v>359</v>
      </c>
      <c r="C234" s="139">
        <v>4000</v>
      </c>
      <c r="D234" s="138">
        <f>IF(A234="","",(COUNTIF(Workings!A:A,A234)))</f>
        <v>1</v>
      </c>
      <c r="E234" t="str">
        <f>IF(C234="","",VLOOKUP(C234,'Summ (F&amp;P Govn)'!A:O,2,FALSE))</f>
        <v>Trips</v>
      </c>
    </row>
    <row r="235" spans="1:5" ht="12.75">
      <c r="A235" s="290" t="s">
        <v>360</v>
      </c>
      <c r="B235" s="290" t="s">
        <v>361</v>
      </c>
      <c r="C235" s="139">
        <v>4000</v>
      </c>
      <c r="D235" s="138">
        <f>IF(A235="","",(COUNTIF(Workings!A:A,A235)))</f>
        <v>1</v>
      </c>
      <c r="E235" t="str">
        <f>IF(C235="","",VLOOKUP(C235,'Summ (F&amp;P Govn)'!A:O,2,FALSE))</f>
        <v>Trips</v>
      </c>
    </row>
    <row r="236" spans="1:5" ht="12.75">
      <c r="A236" s="290"/>
      <c r="B236" s="290"/>
      <c r="C236" s="139"/>
      <c r="D236" s="138">
        <f>IF(A236="","",(COUNTIF(Workings!A:A,A236)))</f>
      </c>
      <c r="E236">
        <f>IF(C236="","",VLOOKUP(C236,'Summ (F&amp;P Govn)'!A:O,2,FALSE))</f>
      </c>
    </row>
    <row r="237" spans="1:5" ht="12.75">
      <c r="A237" s="290"/>
      <c r="B237" s="290"/>
      <c r="C237" s="139"/>
      <c r="D237" s="138">
        <f>IF(A237="","",(COUNTIF(Workings!A:A,A237)))</f>
      </c>
      <c r="E237">
        <f>IF(C237="","",VLOOKUP(C237,'Summ (F&amp;P Govn)'!A:O,2,FALSE))</f>
      </c>
    </row>
    <row r="238" spans="1:5" ht="12.75">
      <c r="A238" s="290"/>
      <c r="B238" s="290"/>
      <c r="C238" s="139"/>
      <c r="D238" s="138">
        <f>IF(A238="","",(COUNTIF(Workings!A:A,A238)))</f>
      </c>
      <c r="E238">
        <f>IF(C238="","",VLOOKUP(C238,'Summ (F&amp;P Govn)'!A:O,2,FALSE))</f>
      </c>
    </row>
    <row r="239" spans="1:5" ht="12.75">
      <c r="A239" s="290"/>
      <c r="B239" s="290"/>
      <c r="C239" s="139"/>
      <c r="D239" s="138">
        <f>IF(A239="","",(COUNTIF(Workings!A:A,A239)))</f>
      </c>
      <c r="E239">
        <f>IF(C239="","",VLOOKUP(C239,'Summ (F&amp;P Govn)'!A:O,2,FALSE))</f>
      </c>
    </row>
    <row r="240" spans="1:5" ht="12.75">
      <c r="A240" s="290"/>
      <c r="B240" s="290"/>
      <c r="C240" s="139"/>
      <c r="D240" s="138">
        <f>IF(A240="","",(COUNTIF(Workings!A:A,A240)))</f>
      </c>
      <c r="E240">
        <f>IF(C240="","",VLOOKUP(C240,'Summ (F&amp;P Govn)'!A:O,2,FALSE))</f>
      </c>
    </row>
    <row r="241" spans="1:5" ht="12.75">
      <c r="A241" s="294">
        <v>651</v>
      </c>
      <c r="B241" s="294" t="s">
        <v>525</v>
      </c>
      <c r="C241" s="139">
        <v>9100</v>
      </c>
      <c r="D241" s="138">
        <f>IF(A241="","",(COUNTIF(Workings!A:A,A241)))</f>
        <v>1</v>
      </c>
      <c r="E241" t="str">
        <f>IF(C241="","",VLOOKUP(C241,'Summ (F&amp;P Govn)'!A:O,2,FALSE))</f>
        <v>Capital exp1</v>
      </c>
    </row>
    <row r="242" spans="1:5" ht="12.75">
      <c r="A242" s="294">
        <v>251</v>
      </c>
      <c r="B242" s="294" t="s">
        <v>522</v>
      </c>
      <c r="C242" s="139">
        <v>6200</v>
      </c>
      <c r="D242" s="138">
        <f>IF(A242="","",(COUNTIF(Workings!A:A,A242)))</f>
        <v>1</v>
      </c>
      <c r="E242" t="str">
        <f>IF(C242="","",VLOOKUP(C242,'Summ (F&amp;P Govn)'!A:O,2,FALSE))</f>
        <v>Capital Income</v>
      </c>
    </row>
    <row r="243" spans="1:5" ht="12.75">
      <c r="A243" s="290" t="s">
        <v>531</v>
      </c>
      <c r="B243" s="290" t="s">
        <v>532</v>
      </c>
      <c r="C243" s="139">
        <v>1640</v>
      </c>
      <c r="D243" s="138">
        <f>IF(A243="","",(COUNTIF(Workings!A:A,A243)))</f>
        <v>1</v>
      </c>
      <c r="E243" t="str">
        <f>IF(C243="","",VLOOKUP(C243,'Summ (F&amp;P Govn)'!A:O,2,FALSE))</f>
        <v>Pupil Support</v>
      </c>
    </row>
    <row r="244" spans="1:5" ht="12.75">
      <c r="A244" s="290">
        <v>610</v>
      </c>
      <c r="B244" s="290" t="s">
        <v>533</v>
      </c>
      <c r="C244" s="139">
        <v>9900</v>
      </c>
      <c r="D244" s="138">
        <f>IF(A244="","",(COUNTIF(Workings!A:A,A244)))</f>
        <v>0</v>
      </c>
      <c r="E244" t="str">
        <f>IF(C244="","",VLOOKUP(C244,'Summ (F&amp;P Govn)'!A:O,2,FALSE))</f>
        <v>Misc unallocated Control</v>
      </c>
    </row>
    <row r="245" spans="1:5" ht="12.75">
      <c r="A245" s="290">
        <v>255</v>
      </c>
      <c r="B245" s="290" t="s">
        <v>537</v>
      </c>
      <c r="C245" s="139">
        <v>6200</v>
      </c>
      <c r="D245" s="138">
        <f>IF(A245="","",(COUNTIF(Workings!A:A,A245)))</f>
        <v>0</v>
      </c>
      <c r="E245" t="str">
        <f>IF(C245="","",VLOOKUP(C245,'Summ (F&amp;P Govn)'!A:O,2,FALSE))</f>
        <v>Capital Income</v>
      </c>
    </row>
    <row r="246" spans="1:5" ht="12.75">
      <c r="A246" s="290">
        <v>655</v>
      </c>
      <c r="B246" s="290" t="s">
        <v>541</v>
      </c>
      <c r="C246" s="139">
        <v>9100</v>
      </c>
      <c r="D246" s="138">
        <f>IF(A246="","",(COUNTIF(Workings!A:A,A246)))</f>
        <v>0</v>
      </c>
      <c r="E246" t="str">
        <f>IF(C246="","",VLOOKUP(C246,'Summ (F&amp;P Govn)'!A:O,2,FALSE))</f>
        <v>Capital exp1</v>
      </c>
    </row>
    <row r="247" spans="1:5" ht="12.75">
      <c r="A247" s="290">
        <v>355</v>
      </c>
      <c r="B247" s="290" t="s">
        <v>563</v>
      </c>
      <c r="C247" s="139">
        <v>1640</v>
      </c>
      <c r="D247" s="138">
        <f>IF(A247="","",(COUNTIF(Workings!A:A,A247)))</f>
        <v>1</v>
      </c>
      <c r="E247" t="str">
        <f>IF(C247="","",VLOOKUP(C247,'Summ (F&amp;P Govn)'!A:O,2,FALSE))</f>
        <v>Pupil Support</v>
      </c>
    </row>
    <row r="248" spans="1:5" ht="12.75">
      <c r="A248" s="290">
        <v>364</v>
      </c>
      <c r="B248" s="290" t="s">
        <v>564</v>
      </c>
      <c r="C248" s="139">
        <v>1600</v>
      </c>
      <c r="D248" s="138">
        <f>IF(A248="","",(COUNTIF(Workings!A:A,A248)))</f>
        <v>1</v>
      </c>
      <c r="E248" t="str">
        <f>IF(C248="","",VLOOKUP(C248,'Summ (F&amp;P Govn)'!A:O,2,FALSE))</f>
        <v>Faculties </v>
      </c>
    </row>
    <row r="249" spans="1:5" ht="12.75">
      <c r="A249" s="290">
        <v>365</v>
      </c>
      <c r="B249" s="290" t="s">
        <v>565</v>
      </c>
      <c r="C249" s="139">
        <v>1600</v>
      </c>
      <c r="D249" s="138">
        <f>IF(A249="","",(COUNTIF(Workings!A:A,A249)))</f>
        <v>1</v>
      </c>
      <c r="E249" t="str">
        <f>IF(C249="","",VLOOKUP(C249,'Summ (F&amp;P Govn)'!A:O,2,FALSE))</f>
        <v>Faculties </v>
      </c>
    </row>
    <row r="250" spans="1:5" ht="12.75">
      <c r="A250" s="290">
        <v>370</v>
      </c>
      <c r="B250" s="290" t="s">
        <v>566</v>
      </c>
      <c r="C250" s="139">
        <v>1620</v>
      </c>
      <c r="D250" s="138">
        <f>IF(A250="","",(COUNTIF(Workings!A:A,A250)))</f>
        <v>1</v>
      </c>
      <c r="E250" t="str">
        <f>IF(C250="","",VLOOKUP(C250,'Summ (F&amp;P Govn)'!A:O,2,FALSE))</f>
        <v>Head teacher budgets</v>
      </c>
    </row>
    <row r="251" spans="1:5" ht="12.75">
      <c r="A251" s="290" t="s">
        <v>570</v>
      </c>
      <c r="B251" s="290" t="s">
        <v>571</v>
      </c>
      <c r="C251" s="139">
        <v>4000</v>
      </c>
      <c r="D251" s="138">
        <f>IF(A251="","",(COUNTIF(Workings!A:A,A251)))</f>
        <v>1</v>
      </c>
      <c r="E251" t="str">
        <f>IF(C251="","",VLOOKUP(C251,'Summ (F&amp;P Govn)'!A:O,2,FALSE))</f>
        <v>Trips</v>
      </c>
    </row>
    <row r="252" spans="1:5" ht="12.75">
      <c r="A252" s="290">
        <v>203</v>
      </c>
      <c r="B252" s="290" t="s">
        <v>558</v>
      </c>
      <c r="C252" s="139">
        <v>5200</v>
      </c>
      <c r="D252" s="138">
        <f>IF(A252="","",(COUNTIF(Workings!A:A,A252)))</f>
        <v>1</v>
      </c>
      <c r="E252" t="str">
        <f>IF(C252="","",VLOOKUP(C252,'Summ (F&amp;P Govn)'!A:O,2,FALSE))</f>
        <v>Brought Forward</v>
      </c>
    </row>
    <row r="253" spans="1:5" ht="12.75">
      <c r="A253" s="292">
        <v>299</v>
      </c>
      <c r="B253" s="292" t="s">
        <v>559</v>
      </c>
      <c r="C253" s="139">
        <v>3200</v>
      </c>
      <c r="D253" s="138">
        <f>IF(A253="","",(COUNTIF(Workings!A:A,A253)))</f>
        <v>1</v>
      </c>
      <c r="E253" t="str">
        <f>IF(C253="","",VLOOKUP(C253,'Summ (F&amp;P Govn)'!A:O,2,FALSE))</f>
        <v>General Contingency  2012/13</v>
      </c>
    </row>
    <row r="254" spans="1:5" ht="12.75">
      <c r="A254" s="290"/>
      <c r="B254" s="290"/>
      <c r="C254" s="139"/>
      <c r="D254" s="138">
        <f>IF(A254="","",(COUNTIF(Workings!A:A,A254)))</f>
      </c>
      <c r="E254">
        <f>IF(C254="","",VLOOKUP(C254,'Summ (F&amp;P Govn)'!A:O,2,FALSE))</f>
      </c>
    </row>
    <row r="255" spans="1:5" ht="12.75">
      <c r="A255" s="290" t="s">
        <v>294</v>
      </c>
      <c r="B255" s="290" t="s">
        <v>542</v>
      </c>
      <c r="C255" s="139">
        <v>9900</v>
      </c>
      <c r="D255" s="138">
        <f>IF(A255="","",(COUNTIF(Workings!A:A,A255)))</f>
        <v>0</v>
      </c>
      <c r="E255" t="str">
        <f>IF(C255="","",VLOOKUP(C255,'Summ (F&amp;P Govn)'!A:O,2,FALSE))</f>
        <v>Misc unallocated Control</v>
      </c>
    </row>
    <row r="256" spans="1:5" ht="12.75">
      <c r="A256" s="290"/>
      <c r="B256" s="290"/>
      <c r="C256" s="139"/>
      <c r="D256" s="138">
        <f>IF(A256="","",(COUNTIF(Workings!A:A,A256)))</f>
      </c>
      <c r="E256">
        <f>IF(C256="","",VLOOKUP(C256,'Summ (F&amp;P Govn)'!A:O,2,FALSE))</f>
      </c>
    </row>
    <row r="257" spans="1:5" ht="12.75">
      <c r="A257" s="290" t="s">
        <v>306</v>
      </c>
      <c r="B257" s="290" t="s">
        <v>307</v>
      </c>
      <c r="C257" s="139">
        <v>4000</v>
      </c>
      <c r="D257" s="138">
        <f>IF(A257="","",(COUNTIF(Workings!A:A,A257)))</f>
        <v>1</v>
      </c>
      <c r="E257" t="str">
        <f>IF(C257="","",VLOOKUP(C257,'Summ (F&amp;P Govn)'!A:O,2,FALSE))</f>
        <v>Trips</v>
      </c>
    </row>
    <row r="258" spans="1:5" ht="12.75">
      <c r="A258" s="290"/>
      <c r="B258" s="290"/>
      <c r="C258" s="139"/>
      <c r="D258" s="138">
        <f>IF(A258="","",(COUNTIF(Workings!A:A,A258)))</f>
      </c>
      <c r="E258">
        <f>IF(C258="","",VLOOKUP(C258,'Summ (F&amp;P Govn)'!A:O,2,FALSE))</f>
      </c>
    </row>
    <row r="259" spans="1:5" ht="12.75">
      <c r="A259" s="290" t="s">
        <v>320</v>
      </c>
      <c r="B259" s="290" t="s">
        <v>573</v>
      </c>
      <c r="C259" s="139">
        <v>4000</v>
      </c>
      <c r="D259" s="138">
        <f>IF(A259="","",(COUNTIF(Workings!A:A,A259)))</f>
        <v>1</v>
      </c>
      <c r="E259" t="str">
        <f>IF(C259="","",VLOOKUP(C259,'Summ (F&amp;P Govn)'!A:O,2,FALSE))</f>
        <v>Trips</v>
      </c>
    </row>
    <row r="260" spans="1:5" ht="12.75">
      <c r="A260" s="290" t="s">
        <v>322</v>
      </c>
      <c r="B260" s="290" t="s">
        <v>574</v>
      </c>
      <c r="C260" s="139">
        <v>4000</v>
      </c>
      <c r="D260" s="138">
        <f>IF(A260="","",(COUNTIF(Workings!A:A,A260)))</f>
        <v>1</v>
      </c>
      <c r="E260" t="str">
        <f>IF(C260="","",VLOOKUP(C260,'Summ (F&amp;P Govn)'!A:O,2,FALSE))</f>
        <v>Trips</v>
      </c>
    </row>
    <row r="261" spans="1:5" ht="12.75">
      <c r="A261" s="290"/>
      <c r="B261" s="290"/>
      <c r="C261" s="139"/>
      <c r="D261" s="138">
        <f>IF(A261="","",(COUNTIF(Workings!A:A,A261)))</f>
      </c>
      <c r="E261">
        <f>IF(C261="","",VLOOKUP(C261,'Summ (F&amp;P Govn)'!A:O,2,FALSE))</f>
      </c>
    </row>
    <row r="262" spans="1:5" ht="12.75">
      <c r="A262" s="290"/>
      <c r="B262" s="290"/>
      <c r="C262" s="139"/>
      <c r="D262" s="138">
        <f>IF(A262="","",(COUNTIF(Workings!A:A,A262)))</f>
      </c>
      <c r="E262">
        <f>IF(C262="","",VLOOKUP(C262,'Summ (F&amp;P Govn)'!A:O,2,FALSE))</f>
      </c>
    </row>
    <row r="263" spans="1:5" ht="12.75">
      <c r="A263" s="290" t="s">
        <v>328</v>
      </c>
      <c r="B263" s="290" t="s">
        <v>329</v>
      </c>
      <c r="C263" s="139">
        <v>4000</v>
      </c>
      <c r="D263" s="138">
        <f>IF(A263="","",(COUNTIF(Workings!A:A,A263)))</f>
        <v>1</v>
      </c>
      <c r="E263" t="str">
        <f>IF(C263="","",VLOOKUP(C263,'Summ (F&amp;P Govn)'!A:O,2,FALSE))</f>
        <v>Trips</v>
      </c>
    </row>
    <row r="264" spans="1:5" ht="12.75">
      <c r="A264" s="290"/>
      <c r="B264" s="290"/>
      <c r="C264" s="139"/>
      <c r="D264" s="138">
        <f>IF(A264="","",(COUNTIF(Workings!A:A,A264)))</f>
      </c>
      <c r="E264">
        <f>IF(C264="","",VLOOKUP(C264,'Summ (F&amp;P Govn)'!A:O,2,FALSE))</f>
      </c>
    </row>
    <row r="265" spans="1:5" ht="12.75">
      <c r="A265" s="290" t="s">
        <v>342</v>
      </c>
      <c r="B265" s="290" t="s">
        <v>343</v>
      </c>
      <c r="C265" s="139">
        <v>4000</v>
      </c>
      <c r="D265" s="138">
        <f>IF(A265="","",(COUNTIF(Workings!A:A,A265)))</f>
        <v>0</v>
      </c>
      <c r="E265" t="str">
        <f>IF(C265="","",VLOOKUP(C265,'Summ (F&amp;P Govn)'!A:O,2,FALSE))</f>
        <v>Trips</v>
      </c>
    </row>
    <row r="266" spans="1:5" ht="12.75">
      <c r="A266" s="290"/>
      <c r="B266" s="290"/>
      <c r="C266" s="139"/>
      <c r="D266" s="138">
        <f>IF(A266="","",(COUNTIF(Workings!A:A,A266)))</f>
      </c>
      <c r="E266">
        <f>IF(C266="","",VLOOKUP(C266,'Summ (F&amp;P Govn)'!A:O,2,FALSE))</f>
      </c>
    </row>
    <row r="267" spans="1:5" ht="12.75">
      <c r="A267" s="290"/>
      <c r="B267" s="290"/>
      <c r="C267" s="139"/>
      <c r="D267" s="138">
        <f>IF(A267="","",(COUNTIF(Workings!A:A,A267)))</f>
      </c>
      <c r="E267">
        <f>IF(C267="","",VLOOKUP(C267,'Summ (F&amp;P Govn)'!A:O,2,FALSE))</f>
      </c>
    </row>
    <row r="268" spans="1:5" ht="12.75">
      <c r="A268" s="290" t="s">
        <v>362</v>
      </c>
      <c r="B268" s="290" t="s">
        <v>576</v>
      </c>
      <c r="C268" s="139">
        <v>4000</v>
      </c>
      <c r="D268" s="138">
        <f>IF(A268="","",(COUNTIF(Workings!A:A,A268)))</f>
        <v>1</v>
      </c>
      <c r="E268" t="str">
        <f>IF(C268="","",VLOOKUP(C268,'Summ (F&amp;P Govn)'!A:O,2,FALSE))</f>
        <v>Trips</v>
      </c>
    </row>
    <row r="269" spans="1:5" ht="12.75">
      <c r="A269" s="290"/>
      <c r="B269" s="290"/>
      <c r="C269" s="139"/>
      <c r="D269" s="138">
        <f>IF(A269="","",(COUNTIF(Workings!A:A,A269)))</f>
      </c>
      <c r="E269">
        <f>IF(C269="","",VLOOKUP(C269,'Summ (F&amp;P Govn)'!A:O,2,FALSE))</f>
      </c>
    </row>
    <row r="270" spans="1:5" ht="12.75">
      <c r="A270" s="290"/>
      <c r="B270" s="290"/>
      <c r="C270" s="139"/>
      <c r="D270" s="138">
        <f>IF(A270="","",(COUNTIF(Workings!A:A,A270)))</f>
      </c>
      <c r="E270">
        <f>IF(C270="","",VLOOKUP(C270,'Summ (F&amp;P Govn)'!A:O,2,FALSE))</f>
      </c>
    </row>
    <row r="271" spans="1:5" ht="12.75">
      <c r="A271" s="290" t="s">
        <v>368</v>
      </c>
      <c r="B271" s="290" t="s">
        <v>579</v>
      </c>
      <c r="C271" s="139">
        <v>4000</v>
      </c>
      <c r="D271" s="138">
        <f>IF(A271="","",(COUNTIF(Workings!A:A,A271)))</f>
        <v>1</v>
      </c>
      <c r="E271" t="str">
        <f>IF(C271="","",VLOOKUP(C271,'Summ (F&amp;P Govn)'!A:O,2,FALSE))</f>
        <v>Trips</v>
      </c>
    </row>
    <row r="272" spans="1:5" ht="12.75">
      <c r="A272" s="290"/>
      <c r="B272" s="290"/>
      <c r="C272" s="139"/>
      <c r="D272" s="138">
        <f>IF(A272="","",(COUNTIF(Workings!A:A,A272)))</f>
      </c>
      <c r="E272">
        <f>IF(C272="","",VLOOKUP(C272,'Summ (F&amp;P Govn)'!A:O,2,FALSE))</f>
      </c>
    </row>
    <row r="273" spans="1:5" ht="12.75">
      <c r="A273" s="290" t="s">
        <v>584</v>
      </c>
      <c r="B273" s="290" t="s">
        <v>585</v>
      </c>
      <c r="C273" s="139">
        <v>4000</v>
      </c>
      <c r="D273" s="138">
        <f>IF(A273="","",(COUNTIF(Workings!A:A,A273)))</f>
        <v>1</v>
      </c>
      <c r="E273" t="str">
        <f>IF(C273="","",VLOOKUP(C273,'Summ (F&amp;P Govn)'!A:O,2,FALSE))</f>
        <v>Trips</v>
      </c>
    </row>
    <row r="274" spans="1:5" ht="12.75">
      <c r="A274" s="290" t="s">
        <v>586</v>
      </c>
      <c r="B274" s="290" t="s">
        <v>587</v>
      </c>
      <c r="C274" s="139">
        <v>4000</v>
      </c>
      <c r="D274" s="138">
        <f>IF(A274="","",(COUNTIF(Workings!A:A,A274)))</f>
        <v>1</v>
      </c>
      <c r="E274" t="str">
        <f>IF(C274="","",VLOOKUP(C274,'Summ (F&amp;P Govn)'!A:O,2,FALSE))</f>
        <v>Trips</v>
      </c>
    </row>
    <row r="275" spans="1:5" ht="12.75">
      <c r="A275" s="290" t="s">
        <v>588</v>
      </c>
      <c r="B275" s="290" t="s">
        <v>589</v>
      </c>
      <c r="C275" s="139">
        <v>4000</v>
      </c>
      <c r="D275" s="138">
        <f>IF(A275="","",(COUNTIF(Workings!A:A,A275)))</f>
        <v>1</v>
      </c>
      <c r="E275" t="str">
        <f>IF(C275="","",VLOOKUP(C275,'Summ (F&amp;P Govn)'!A:O,2,FALSE))</f>
        <v>Trips</v>
      </c>
    </row>
    <row r="276" spans="1:5" ht="12.75">
      <c r="A276" s="290" t="s">
        <v>590</v>
      </c>
      <c r="B276" s="290" t="s">
        <v>591</v>
      </c>
      <c r="C276" s="139">
        <v>4000</v>
      </c>
      <c r="D276" s="138">
        <f>IF(A276="","",(COUNTIF(Workings!A:A,A276)))</f>
        <v>1</v>
      </c>
      <c r="E276" t="str">
        <f>IF(C276="","",VLOOKUP(C276,'Summ (F&amp;P Govn)'!A:O,2,FALSE))</f>
        <v>Trips</v>
      </c>
    </row>
    <row r="277" spans="1:5" ht="12.75">
      <c r="A277" s="290" t="s">
        <v>592</v>
      </c>
      <c r="B277" s="290" t="s">
        <v>593</v>
      </c>
      <c r="C277" s="139">
        <v>4000</v>
      </c>
      <c r="D277" s="138">
        <f>IF(A277="","",(COUNTIF(Workings!A:A,A277)))</f>
        <v>1</v>
      </c>
      <c r="E277" t="str">
        <f>IF(C277="","",VLOOKUP(C277,'Summ (F&amp;P Govn)'!A:O,2,FALSE))</f>
        <v>Trips</v>
      </c>
    </row>
    <row r="278" spans="1:5" ht="12.75">
      <c r="A278" s="290" t="s">
        <v>602</v>
      </c>
      <c r="B278" s="290" t="s">
        <v>603</v>
      </c>
      <c r="C278" s="139">
        <v>4000</v>
      </c>
      <c r="D278" s="138">
        <f>IF(A278="","",(COUNTIF(Workings!A:A,A278)))</f>
        <v>1</v>
      </c>
      <c r="E278" t="str">
        <f>IF(C278="","",VLOOKUP(C278,'Summ (F&amp;P Govn)'!A:O,2,FALSE))</f>
        <v>Trips</v>
      </c>
    </row>
    <row r="279" spans="1:5" ht="12.75">
      <c r="A279" s="290" t="s">
        <v>604</v>
      </c>
      <c r="B279" s="290" t="s">
        <v>605</v>
      </c>
      <c r="C279" s="139">
        <v>4000</v>
      </c>
      <c r="D279" s="138">
        <f>IF(A279="","",(COUNTIF(Workings!A:A,A279)))</f>
        <v>1</v>
      </c>
      <c r="E279" t="str">
        <f>IF(C279="","",VLOOKUP(C279,'Summ (F&amp;P Govn)'!A:O,2,FALSE))</f>
        <v>Trips</v>
      </c>
    </row>
    <row r="280" spans="1:5" ht="12.75">
      <c r="A280" s="290" t="s">
        <v>606</v>
      </c>
      <c r="B280" s="290" t="s">
        <v>607</v>
      </c>
      <c r="C280" s="139">
        <v>4000</v>
      </c>
      <c r="D280" s="138">
        <f>IF(A280="","",(COUNTIF(Workings!A:A,A280)))</f>
        <v>1</v>
      </c>
      <c r="E280" t="str">
        <f>IF(C280="","",VLOOKUP(C280,'Summ (F&amp;P Govn)'!A:O,2,FALSE))</f>
        <v>Trips</v>
      </c>
    </row>
    <row r="281" spans="1:5" ht="12.75">
      <c r="A281" s="290" t="s">
        <v>608</v>
      </c>
      <c r="B281" s="290" t="s">
        <v>609</v>
      </c>
      <c r="C281" s="139">
        <v>4000</v>
      </c>
      <c r="D281" s="138">
        <f>IF(A281="","",(COUNTIF(Workings!A:A,A281)))</f>
        <v>1</v>
      </c>
      <c r="E281" t="str">
        <f>IF(C281="","",VLOOKUP(C281,'Summ (F&amp;P Govn)'!A:O,2,FALSE))</f>
        <v>Trips</v>
      </c>
    </row>
    <row r="282" spans="1:5" ht="12.75">
      <c r="A282" s="290" t="s">
        <v>610</v>
      </c>
      <c r="B282" s="290" t="s">
        <v>611</v>
      </c>
      <c r="C282" s="139">
        <v>4000</v>
      </c>
      <c r="D282" s="138">
        <f>IF(A282="","",(COUNTIF(Workings!A:A,A282)))</f>
        <v>1</v>
      </c>
      <c r="E282" t="str">
        <f>IF(C282="","",VLOOKUP(C282,'Summ (F&amp;P Govn)'!A:O,2,FALSE))</f>
        <v>Trips</v>
      </c>
    </row>
    <row r="283" spans="1:5" ht="12.75">
      <c r="A283" s="290">
        <v>703</v>
      </c>
      <c r="B283" s="290" t="s">
        <v>599</v>
      </c>
      <c r="C283" s="139">
        <v>4000</v>
      </c>
      <c r="D283" s="138">
        <f>IF(A283="","",(COUNTIF(Workings!A:A,A283)))</f>
        <v>1</v>
      </c>
      <c r="E283" t="str">
        <f>IF(C283="","",VLOOKUP(C283,'Summ (F&amp;P Govn)'!A:O,2,FALSE))</f>
        <v>Trips</v>
      </c>
    </row>
    <row r="284" spans="1:5" ht="12.75">
      <c r="A284" s="290" t="s">
        <v>600</v>
      </c>
      <c r="B284" s="290" t="s">
        <v>601</v>
      </c>
      <c r="C284" s="139">
        <v>4000</v>
      </c>
      <c r="D284" s="138">
        <f>IF(A284="","",(COUNTIF(Workings!A:A,A284)))</f>
        <v>1</v>
      </c>
      <c r="E284" t="str">
        <f>IF(C284="","",VLOOKUP(C284,'Summ (F&amp;P Govn)'!A:O,2,FALSE))</f>
        <v>Trips</v>
      </c>
    </row>
    <row r="285" spans="1:5" ht="12.75">
      <c r="A285" s="290" t="s">
        <v>364</v>
      </c>
      <c r="B285" s="290" t="s">
        <v>577</v>
      </c>
      <c r="C285" s="139">
        <v>4000</v>
      </c>
      <c r="D285" s="138">
        <f>IF(A285="","",(COUNTIF(Workings!A:A,A285)))</f>
        <v>0</v>
      </c>
      <c r="E285" t="str">
        <f>IF(C285="","",VLOOKUP(C285,'Summ (F&amp;P Govn)'!A:O,2,FALSE))</f>
        <v>Trips</v>
      </c>
    </row>
    <row r="286" spans="1:5" ht="12.75">
      <c r="A286" s="290" t="s">
        <v>366</v>
      </c>
      <c r="B286" s="290" t="s">
        <v>578</v>
      </c>
      <c r="C286" s="139">
        <v>4000</v>
      </c>
      <c r="D286" s="138">
        <f>IF(A286="","",(COUNTIF(Workings!A:A,A286)))</f>
        <v>1</v>
      </c>
      <c r="E286" t="str">
        <f>IF(C286="","",VLOOKUP(C286,'Summ (F&amp;P Govn)'!A:O,2,FALSE))</f>
        <v>Trips</v>
      </c>
    </row>
    <row r="287" spans="1:5" ht="12.75">
      <c r="A287" s="290" t="s">
        <v>370</v>
      </c>
      <c r="B287" s="290" t="s">
        <v>580</v>
      </c>
      <c r="C287" s="139">
        <v>4000</v>
      </c>
      <c r="D287" s="138">
        <f>IF(A287="","",(COUNTIF(Workings!A:A,A287)))</f>
        <v>1</v>
      </c>
      <c r="E287" t="str">
        <f>IF(C287="","",VLOOKUP(C287,'Summ (F&amp;P Govn)'!A:O,2,FALSE))</f>
        <v>Trips</v>
      </c>
    </row>
    <row r="288" spans="1:5" ht="12.75">
      <c r="A288" s="184" t="s">
        <v>492</v>
      </c>
      <c r="B288" s="184" t="s">
        <v>492</v>
      </c>
      <c r="C288" s="185"/>
      <c r="D288" s="138">
        <f>IF(A288="","",(COUNTIF(Workings!A:A,A288)))</f>
      </c>
      <c r="E288">
        <f>IF(C288="","",VLOOKUP(C288,'Summ (F&amp;P Govn)'!A:O,2,FALSE))</f>
      </c>
    </row>
    <row r="289" spans="1:5" ht="12.75">
      <c r="A289" s="295">
        <v>656</v>
      </c>
      <c r="B289" s="295" t="s">
        <v>614</v>
      </c>
      <c r="C289" s="296">
        <v>9100</v>
      </c>
      <c r="D289" s="138">
        <f>IF(A289="","",(COUNTIF(Workings!A:A,A289)))</f>
        <v>1</v>
      </c>
      <c r="E289" t="str">
        <f>IF(C289="","",VLOOKUP(C289,'Summ (F&amp;P Govn)'!A:O,2,FALSE))</f>
        <v>Capital exp1</v>
      </c>
    </row>
    <row r="290" spans="1:5" ht="12.75">
      <c r="A290" s="295" t="s">
        <v>616</v>
      </c>
      <c r="B290" s="295" t="s">
        <v>617</v>
      </c>
      <c r="C290" s="296">
        <v>4000</v>
      </c>
      <c r="D290" s="138">
        <f>IF(A290="","",(COUNTIF(Workings!A:A,A290)))</f>
        <v>1</v>
      </c>
      <c r="E290" t="str">
        <f>IF(C290="","",VLOOKUP(C290,'Summ (F&amp;P Govn)'!A:O,2,FALSE))</f>
        <v>Trips</v>
      </c>
    </row>
    <row r="291" spans="1:5" ht="12.75">
      <c r="A291" s="295" t="s">
        <v>618</v>
      </c>
      <c r="B291" s="295" t="s">
        <v>619</v>
      </c>
      <c r="C291" s="296">
        <v>4000</v>
      </c>
      <c r="D291" s="138">
        <f>IF(A291="","",(COUNTIF(Workings!A:A,A291)))</f>
        <v>1</v>
      </c>
      <c r="E291" t="str">
        <f>IF(C291="","",VLOOKUP(C291,'Summ (F&amp;P Govn)'!A:O,2,FALSE))</f>
        <v>Trips</v>
      </c>
    </row>
    <row r="292" spans="1:5" ht="12.75">
      <c r="A292" s="295" t="s">
        <v>622</v>
      </c>
      <c r="B292" s="295" t="s">
        <v>623</v>
      </c>
      <c r="C292" s="296">
        <v>4000</v>
      </c>
      <c r="D292" s="138">
        <f>IF(A292="","",(COUNTIF(Workings!A:A,A292)))</f>
        <v>1</v>
      </c>
      <c r="E292" t="str">
        <f>IF(C292="","",VLOOKUP(C292,'Summ (F&amp;P Govn)'!A:O,2,FALSE))</f>
        <v>Trips</v>
      </c>
    </row>
    <row r="293" spans="1:5" ht="12.75">
      <c r="A293" s="295" t="s">
        <v>620</v>
      </c>
      <c r="B293" s="295" t="s">
        <v>621</v>
      </c>
      <c r="C293" s="296">
        <v>4000</v>
      </c>
      <c r="D293" s="138">
        <f>IF(A293="","",(COUNTIF(Workings!A:A,A293)))</f>
        <v>1</v>
      </c>
      <c r="E293" t="str">
        <f>IF(C293="","",VLOOKUP(C293,'Summ (F&amp;P Govn)'!A:O,2,FALSE))</f>
        <v>Trips</v>
      </c>
    </row>
    <row r="294" spans="1:5" ht="12.75">
      <c r="A294" s="295" t="s">
        <v>624</v>
      </c>
      <c r="B294" s="295" t="s">
        <v>625</v>
      </c>
      <c r="C294" s="296">
        <v>4000</v>
      </c>
      <c r="D294" s="138">
        <f>IF(A294="","",(COUNTIF(Workings!A:A,A294)))</f>
        <v>1</v>
      </c>
      <c r="E294" t="str">
        <f>IF(C294="","",VLOOKUP(C294,'Summ (F&amp;P Govn)'!A:O,2,FALSE))</f>
        <v>Trips</v>
      </c>
    </row>
    <row r="295" spans="1:5" ht="12.75">
      <c r="A295" s="295" t="s">
        <v>646</v>
      </c>
      <c r="B295" s="295" t="s">
        <v>647</v>
      </c>
      <c r="C295" s="296">
        <v>4000</v>
      </c>
      <c r="D295" s="138">
        <f>IF(A295="","",(COUNTIF(Workings!A:A,A295)))</f>
        <v>1</v>
      </c>
      <c r="E295" t="str">
        <f>IF(C295="","",VLOOKUP(C295,'Summ (F&amp;P Govn)'!A:O,2,FALSE))</f>
        <v>Trips</v>
      </c>
    </row>
    <row r="296" spans="1:5" ht="12.75">
      <c r="A296" s="295" t="s">
        <v>648</v>
      </c>
      <c r="B296" s="295" t="s">
        <v>649</v>
      </c>
      <c r="C296" s="296">
        <v>4000</v>
      </c>
      <c r="D296" s="138">
        <f>IF(A296="","",(COUNTIF(Workings!A:A,A296)))</f>
        <v>1</v>
      </c>
      <c r="E296" t="str">
        <f>IF(C296="","",VLOOKUP(C296,'Summ (F&amp;P Govn)'!A:O,2,FALSE))</f>
        <v>Trips</v>
      </c>
    </row>
    <row r="297" spans="1:5" ht="12.75">
      <c r="A297" s="295" t="s">
        <v>650</v>
      </c>
      <c r="B297" s="295" t="s">
        <v>651</v>
      </c>
      <c r="C297" s="296">
        <v>4000</v>
      </c>
      <c r="D297" s="138">
        <f>IF(A297="","",(COUNTIF(Workings!A:A,A297)))</f>
        <v>1</v>
      </c>
      <c r="E297" t="str">
        <f>IF(C297="","",VLOOKUP(C297,'Summ (F&amp;P Govn)'!A:O,2,FALSE))</f>
        <v>Trips</v>
      </c>
    </row>
    <row r="298" spans="1:6" ht="12.75">
      <c r="A298" s="260" t="s">
        <v>653</v>
      </c>
      <c r="B298" s="260" t="s">
        <v>654</v>
      </c>
      <c r="C298" s="259">
        <v>1600</v>
      </c>
      <c r="D298" s="297">
        <f>IF(A298="","",(COUNTIF(Workings!A:A,A298)))</f>
        <v>1</v>
      </c>
      <c r="E298" s="251" t="str">
        <f>IF(C298="","",VLOOKUP(C298,'Summ (F&amp;P Govn)'!A:O,2,FALSE))</f>
        <v>Faculties </v>
      </c>
      <c r="F298" s="251"/>
    </row>
    <row r="299" spans="1:5" ht="12.75">
      <c r="A299" s="295" t="s">
        <v>655</v>
      </c>
      <c r="B299" s="295" t="s">
        <v>656</v>
      </c>
      <c r="C299" s="296">
        <v>4000</v>
      </c>
      <c r="D299" s="138">
        <f>IF(A299="","",(COUNTIF(Workings!A:A,A299)))</f>
        <v>1</v>
      </c>
      <c r="E299" t="str">
        <f>IF(C299="","",VLOOKUP(C299,'Summ (F&amp;P Govn)'!A:O,2,FALSE))</f>
        <v>Trips</v>
      </c>
    </row>
    <row r="300" spans="1:5" ht="12.75">
      <c r="A300" s="295" t="s">
        <v>657</v>
      </c>
      <c r="B300" s="295" t="s">
        <v>658</v>
      </c>
      <c r="C300" s="296">
        <v>4000</v>
      </c>
      <c r="D300" s="138">
        <f>IF(A300="","",(COUNTIF(Workings!A:A,A300)))</f>
        <v>1</v>
      </c>
      <c r="E300" t="str">
        <f>IF(C300="","",VLOOKUP(C300,'Summ (F&amp;P Govn)'!A:O,2,FALSE))</f>
        <v>Trips</v>
      </c>
    </row>
    <row r="301" spans="1:5" ht="12.75">
      <c r="A301" s="295" t="s">
        <v>659</v>
      </c>
      <c r="B301" s="295" t="s">
        <v>660</v>
      </c>
      <c r="C301" s="296">
        <v>4000</v>
      </c>
      <c r="D301" s="138">
        <f>IF(A301="","",(COUNTIF(Workings!A:A,A301)))</f>
        <v>1</v>
      </c>
      <c r="E301" t="str">
        <f>IF(C301="","",VLOOKUP(C301,'Summ (F&amp;P Govn)'!A:O,2,FALSE))</f>
        <v>Trips</v>
      </c>
    </row>
    <row r="302" spans="1:5" ht="12.75">
      <c r="A302" s="295" t="s">
        <v>661</v>
      </c>
      <c r="B302" s="295" t="s">
        <v>662</v>
      </c>
      <c r="C302" s="296">
        <v>4000</v>
      </c>
      <c r="D302" s="138">
        <f>IF(A302="","",(COUNTIF(Workings!A:A,A302)))</f>
        <v>1</v>
      </c>
      <c r="E302" t="str">
        <f>IF(C302="","",VLOOKUP(C302,'Summ (F&amp;P Govn)'!A:O,2,FALSE))</f>
        <v>Trips</v>
      </c>
    </row>
    <row r="303" spans="1:6" ht="12.75">
      <c r="A303" s="260" t="s">
        <v>665</v>
      </c>
      <c r="B303" s="260" t="s">
        <v>666</v>
      </c>
      <c r="C303" s="259">
        <v>1600</v>
      </c>
      <c r="D303" s="297">
        <f>IF(A303="","",(COUNTIF(Workings!A:A,A303)))</f>
        <v>1</v>
      </c>
      <c r="E303" s="251" t="str">
        <f>IF(C303="","",VLOOKUP(C303,'Summ (F&amp;P Govn)'!A:O,2,FALSE))</f>
        <v>Faculties </v>
      </c>
      <c r="F303" s="251"/>
    </row>
    <row r="304" spans="1:5" ht="12.75">
      <c r="A304" s="295">
        <v>256</v>
      </c>
      <c r="B304" s="295" t="s">
        <v>613</v>
      </c>
      <c r="C304" s="296">
        <v>6200</v>
      </c>
      <c r="D304" s="138">
        <f>IF(A304="","",(COUNTIF(Workings!A:A,A304)))</f>
        <v>1</v>
      </c>
      <c r="E304" t="str">
        <f>IF(C304="","",VLOOKUP(C304,'Summ (F&amp;P Govn)'!A:O,2,FALSE))</f>
        <v>Capital Income</v>
      </c>
    </row>
    <row r="305" spans="1:5" ht="12.75">
      <c r="A305" s="295">
        <v>302</v>
      </c>
      <c r="B305" s="295" t="s">
        <v>626</v>
      </c>
      <c r="C305" s="296">
        <v>1600</v>
      </c>
      <c r="D305" s="138">
        <f>IF(A305="","",(COUNTIF(Workings!A:A,A305)))</f>
        <v>1</v>
      </c>
      <c r="E305" t="str">
        <f>IF(C305="","",VLOOKUP(C305,'Summ (F&amp;P Govn)'!A:O,2,FALSE))</f>
        <v>Faculties </v>
      </c>
    </row>
    <row r="306" spans="1:5" ht="12.75">
      <c r="A306" s="295">
        <v>305</v>
      </c>
      <c r="B306" s="295" t="s">
        <v>627</v>
      </c>
      <c r="C306" s="296">
        <v>1600</v>
      </c>
      <c r="D306" s="138">
        <f>IF(A306="","",(COUNTIF(Workings!A:A,A306)))</f>
        <v>1</v>
      </c>
      <c r="E306" t="str">
        <f>IF(C306="","",VLOOKUP(C306,'Summ (F&amp;P Govn)'!A:O,2,FALSE))</f>
        <v>Faculties </v>
      </c>
    </row>
    <row r="307" spans="1:5" ht="12.75">
      <c r="A307" s="295">
        <v>323</v>
      </c>
      <c r="B307" s="295" t="s">
        <v>633</v>
      </c>
      <c r="C307" s="296">
        <v>1600</v>
      </c>
      <c r="D307" s="138">
        <f>IF(A307="","",(COUNTIF(Workings!A:A,A307)))</f>
        <v>1</v>
      </c>
      <c r="E307" t="str">
        <f>IF(C307="","",VLOOKUP(C307,'Summ (F&amp;P Govn)'!A:O,2,FALSE))</f>
        <v>Faculties </v>
      </c>
    </row>
    <row r="308" spans="1:5" ht="12.75">
      <c r="A308" s="295">
        <v>335</v>
      </c>
      <c r="B308" s="295" t="s">
        <v>637</v>
      </c>
      <c r="C308" s="296">
        <v>1600</v>
      </c>
      <c r="D308" s="138">
        <f>IF(A308="","",(COUNTIF(Workings!A:A,A308)))</f>
        <v>1</v>
      </c>
      <c r="E308" t="str">
        <f>IF(C308="","",VLOOKUP(C308,'Summ (F&amp;P Govn)'!A:O,2,FALSE))</f>
        <v>Faculties </v>
      </c>
    </row>
    <row r="309" spans="1:5" ht="12.75">
      <c r="A309" s="70">
        <v>541</v>
      </c>
      <c r="B309" s="70" t="s">
        <v>581</v>
      </c>
      <c r="C309" s="296">
        <v>1640</v>
      </c>
      <c r="D309" s="138">
        <f>IF(A309="","",(COUNTIF(Workings!A:A,A309)))</f>
        <v>1</v>
      </c>
      <c r="E309" t="str">
        <f>IF(C309="","",VLOOKUP(C309,'Summ (F&amp;P Govn)'!A:O,2,FALSE))</f>
        <v>Pupil Support</v>
      </c>
    </row>
    <row r="310" spans="1:6" ht="12.75">
      <c r="A310" s="260">
        <v>603</v>
      </c>
      <c r="B310" s="260" t="s">
        <v>699</v>
      </c>
      <c r="C310" s="259">
        <v>9900</v>
      </c>
      <c r="D310" s="297">
        <f>IF(A310="","",(COUNTIF(Workings!A:A,A310)))</f>
        <v>1</v>
      </c>
      <c r="E310" s="251" t="str">
        <f>IF(C310="","",VLOOKUP(C310,'Summ (F&amp;P Govn)'!A:O,2,FALSE))</f>
        <v>Misc unallocated Control</v>
      </c>
      <c r="F310" s="251"/>
    </row>
    <row r="311" spans="1:5" ht="12.75">
      <c r="A311" s="295" t="s">
        <v>492</v>
      </c>
      <c r="B311" s="295" t="s">
        <v>492</v>
      </c>
      <c r="C311" s="296"/>
      <c r="D311" s="138">
        <f>IF(A311="","",(COUNTIF(Workings!A:A,A311)))</f>
      </c>
      <c r="E311">
        <f>IF(C311="","",VLOOKUP(C311,'Summ (F&amp;P Govn)'!A:O,2,FALSE))</f>
      </c>
    </row>
    <row r="312" spans="1:5" ht="12.75">
      <c r="A312" s="184" t="s">
        <v>492</v>
      </c>
      <c r="B312" s="184" t="s">
        <v>492</v>
      </c>
      <c r="C312" s="185"/>
      <c r="D312" s="138">
        <f>IF(A312="","",(COUNTIF(Workings!A:A,A312)))</f>
      </c>
      <c r="E312">
        <f>IF(C312="","",VLOOKUP(C312,'Summ (F&amp;P Govn)'!A:O,2,FALSE))</f>
      </c>
    </row>
    <row r="313" spans="1:5" ht="12.75">
      <c r="A313" s="184" t="s">
        <v>492</v>
      </c>
      <c r="B313" s="184" t="s">
        <v>492</v>
      </c>
      <c r="C313" s="185"/>
      <c r="D313" s="138">
        <f>IF(A313="","",(COUNTIF(Workings!A:A,A313)))</f>
      </c>
      <c r="E313">
        <f>IF(C313="","",VLOOKUP(C313,'Summ (F&amp;P Govn)'!A:O,2,FALSE))</f>
      </c>
    </row>
    <row r="314" spans="1:5" ht="12.75">
      <c r="A314" s="184" t="s">
        <v>492</v>
      </c>
      <c r="B314" s="184" t="s">
        <v>492</v>
      </c>
      <c r="C314" s="185"/>
      <c r="D314" s="138">
        <f>IF(A314="","",(COUNTIF(Workings!A:A,A314)))</f>
      </c>
      <c r="E314">
        <f>IF(C314="","",VLOOKUP(C314,'Summ (F&amp;P Govn)'!A:O,2,FALSE))</f>
      </c>
    </row>
    <row r="315" spans="1:5" ht="12.75">
      <c r="A315" s="184" t="s">
        <v>492</v>
      </c>
      <c r="B315" s="184" t="s">
        <v>492</v>
      </c>
      <c r="C315" s="185"/>
      <c r="D315" s="138">
        <f>IF(A315="","",(COUNTIF(Workings!A:A,A315)))</f>
      </c>
      <c r="E315">
        <f>IF(C315="","",VLOOKUP(C315,'Summ (F&amp;P Govn)'!A:O,2,FALSE))</f>
      </c>
    </row>
    <row r="316" spans="1:5" ht="12.75">
      <c r="A316" s="184" t="s">
        <v>492</v>
      </c>
      <c r="B316" s="184" t="s">
        <v>492</v>
      </c>
      <c r="C316" s="185"/>
      <c r="D316" s="138">
        <f>IF(A316="","",(COUNTIF(Workings!A:A,A316)))</f>
      </c>
      <c r="E316">
        <f>IF(C316="","",VLOOKUP(C316,'Summ (F&amp;P Govn)'!A:O,2,FALSE))</f>
      </c>
    </row>
    <row r="317" spans="1:5" ht="12.75">
      <c r="A317" s="184" t="s">
        <v>492</v>
      </c>
      <c r="B317" s="184" t="s">
        <v>492</v>
      </c>
      <c r="C317" s="185"/>
      <c r="D317" s="138">
        <f>IF(A317="","",(COUNTIF(Workings!A:A,A317)))</f>
      </c>
      <c r="E317">
        <f>IF(C317="","",VLOOKUP(C317,'Summ (F&amp;P Govn)'!A:O,2,FALSE))</f>
      </c>
    </row>
    <row r="318" spans="1:5" ht="12.75">
      <c r="A318" s="184" t="s">
        <v>492</v>
      </c>
      <c r="B318" s="184" t="s">
        <v>492</v>
      </c>
      <c r="C318" s="185"/>
      <c r="D318" s="138">
        <f>IF(A318="","",(COUNTIF(Workings!A:A,A318)))</f>
      </c>
      <c r="E318">
        <f>IF(C318="","",VLOOKUP(C318,'Summ (F&amp;P Govn)'!A:O,2,FALSE))</f>
      </c>
    </row>
    <row r="319" spans="1:5" ht="12.75">
      <c r="A319" s="184" t="s">
        <v>492</v>
      </c>
      <c r="B319" s="184" t="s">
        <v>492</v>
      </c>
      <c r="C319" s="185"/>
      <c r="D319" s="138">
        <f>IF(A319="","",(COUNTIF(Workings!A:A,A319)))</f>
      </c>
      <c r="E319">
        <f>IF(C319="","",VLOOKUP(C319,'Summ (F&amp;P Govn)'!A:O,2,FALSE))</f>
      </c>
    </row>
    <row r="320" spans="1:5" ht="12.75">
      <c r="A320" s="184" t="s">
        <v>492</v>
      </c>
      <c r="B320" s="184" t="s">
        <v>492</v>
      </c>
      <c r="C320" s="185"/>
      <c r="D320" s="138">
        <f>IF(A320="","",(COUNTIF(Workings!A:A,A320)))</f>
      </c>
      <c r="E320">
        <f>IF(C320="","",VLOOKUP(C320,'Summ (F&amp;P Govn)'!A:O,2,FALSE))</f>
      </c>
    </row>
  </sheetData>
  <sheetProtection/>
  <mergeCells count="2">
    <mergeCell ref="A1:A11"/>
    <mergeCell ref="B1:B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232"/>
  <sheetViews>
    <sheetView zoomScalePageLayoutView="0" workbookViewId="0" topLeftCell="A108">
      <selection activeCell="F123" sqref="F123"/>
    </sheetView>
  </sheetViews>
  <sheetFormatPr defaultColWidth="9.140625" defaultRowHeight="12.75"/>
  <cols>
    <col min="1" max="3" width="9.140625" style="251" customWidth="1"/>
    <col min="17" max="17" width="9.57421875" style="0" bestFit="1" customWidth="1"/>
    <col min="18" max="18" width="10.421875" style="0" customWidth="1"/>
  </cols>
  <sheetData>
    <row r="1" spans="1:12" ht="12.75">
      <c r="A1" s="251">
        <v>1</v>
      </c>
      <c r="B1" s="251">
        <v>1</v>
      </c>
      <c r="C1" s="251" t="s">
        <v>667</v>
      </c>
      <c r="D1" t="s">
        <v>668</v>
      </c>
      <c r="E1" t="s">
        <v>669</v>
      </c>
      <c r="F1" t="s">
        <v>670</v>
      </c>
      <c r="G1">
        <v>1</v>
      </c>
      <c r="H1">
        <v>1</v>
      </c>
      <c r="I1">
        <v>1</v>
      </c>
      <c r="J1">
        <v>1</v>
      </c>
      <c r="K1">
        <v>1</v>
      </c>
      <c r="L1">
        <v>1</v>
      </c>
    </row>
    <row r="2" spans="1:19" ht="12.75">
      <c r="A2" s="251">
        <v>101</v>
      </c>
      <c r="B2" s="251" t="s">
        <v>64</v>
      </c>
      <c r="C2" s="251">
        <v>520424</v>
      </c>
      <c r="D2">
        <v>4</v>
      </c>
      <c r="E2">
        <v>546294</v>
      </c>
      <c r="F2">
        <v>546294</v>
      </c>
      <c r="G2">
        <v>0</v>
      </c>
      <c r="H2">
        <v>546294</v>
      </c>
      <c r="I2">
        <f>+A2</f>
        <v>101</v>
      </c>
      <c r="J2" t="str">
        <f>+B2</f>
        <v>Admin/Clerical Staff Costs</v>
      </c>
      <c r="K2">
        <f>+C2</f>
        <v>520424</v>
      </c>
      <c r="M2">
        <f>VLOOKUP(A2,'Cross ref Tab'!A:E,3,FALSE)</f>
        <v>1300</v>
      </c>
      <c r="O2">
        <f>VLOOKUP(A2,Workings!A:D,3,FALSE)-H2</f>
        <v>-28870</v>
      </c>
      <c r="Q2">
        <f>SUMIF('Approved 15-16 budget'!B:B,A2,'Approved 15-16 budget'!E:E)</f>
        <v>0</v>
      </c>
      <c r="R2">
        <f>SUMIF('Approved 15-16 budget'!B:B,A2,'Approved 15-16 budget'!D:D)</f>
        <v>0</v>
      </c>
      <c r="S2">
        <f>+C2</f>
        <v>520424</v>
      </c>
    </row>
    <row r="3" spans="1:19" ht="12.75">
      <c r="A3" s="251">
        <v>102</v>
      </c>
      <c r="B3" s="251" t="s">
        <v>65</v>
      </c>
      <c r="C3" s="251">
        <v>0</v>
      </c>
      <c r="D3">
        <v>4</v>
      </c>
      <c r="E3">
        <v>169325</v>
      </c>
      <c r="F3">
        <v>169325</v>
      </c>
      <c r="G3">
        <v>0</v>
      </c>
      <c r="H3">
        <v>169325</v>
      </c>
      <c r="I3">
        <f aca="true" t="shared" si="0" ref="I3:I66">+A3</f>
        <v>102</v>
      </c>
      <c r="J3" t="str">
        <f aca="true" t="shared" si="1" ref="J3:J66">+B3</f>
        <v>Catering Staff</v>
      </c>
      <c r="K3">
        <f aca="true" t="shared" si="2" ref="K3:K66">+C3</f>
        <v>0</v>
      </c>
      <c r="M3">
        <f>VLOOKUP(A3,'Cross ref Tab'!A:E,3,FALSE)</f>
        <v>1320</v>
      </c>
      <c r="O3">
        <f>VLOOKUP(A3,Workings!A:D,3,FALSE)-H3</f>
        <v>-169325</v>
      </c>
      <c r="Q3">
        <f>SUMIF('Approved 15-16 budget'!B:B,A3,'Approved 15-16 budget'!E:E)</f>
        <v>0</v>
      </c>
      <c r="R3">
        <f>SUMIF('Approved 15-16 budget'!B:B,A3,'Approved 15-16 budget'!D:D)</f>
        <v>0</v>
      </c>
      <c r="S3">
        <f aca="true" t="shared" si="3" ref="S3:S66">+C3</f>
        <v>0</v>
      </c>
    </row>
    <row r="4" spans="1:19" ht="12.75">
      <c r="A4" s="251">
        <v>103</v>
      </c>
      <c r="B4" s="251" t="s">
        <v>66</v>
      </c>
      <c r="C4" s="251">
        <v>0</v>
      </c>
      <c r="D4">
        <v>4</v>
      </c>
      <c r="E4">
        <v>8316</v>
      </c>
      <c r="F4">
        <v>8316</v>
      </c>
      <c r="G4">
        <v>0</v>
      </c>
      <c r="H4">
        <v>8316</v>
      </c>
      <c r="I4">
        <f t="shared" si="0"/>
        <v>103</v>
      </c>
      <c r="J4" t="str">
        <f t="shared" si="1"/>
        <v>Foreign Assistant</v>
      </c>
      <c r="K4">
        <f t="shared" si="2"/>
        <v>0</v>
      </c>
      <c r="M4">
        <f>VLOOKUP(A4,'Cross ref Tab'!A:E,3,FALSE)</f>
        <v>1220</v>
      </c>
      <c r="O4">
        <f>VLOOKUP(A4,Workings!A:D,3,FALSE)-H4</f>
        <v>-8316</v>
      </c>
      <c r="Q4">
        <f>SUMIF('Approved 15-16 budget'!B:B,A4,'Approved 15-16 budget'!E:E)</f>
        <v>0</v>
      </c>
      <c r="R4">
        <f>SUMIF('Approved 15-16 budget'!B:B,A4,'Approved 15-16 budget'!D:D)</f>
        <v>0</v>
      </c>
      <c r="S4">
        <f t="shared" si="3"/>
        <v>0</v>
      </c>
    </row>
    <row r="5" spans="1:19" ht="12.75">
      <c r="A5" s="251">
        <v>104</v>
      </c>
      <c r="B5" s="251" t="s">
        <v>67</v>
      </c>
      <c r="C5" s="251">
        <v>0</v>
      </c>
      <c r="D5">
        <v>4</v>
      </c>
      <c r="E5">
        <v>3566175</v>
      </c>
      <c r="F5">
        <v>3601175</v>
      </c>
      <c r="G5">
        <v>0</v>
      </c>
      <c r="H5">
        <v>3601175</v>
      </c>
      <c r="I5">
        <f t="shared" si="0"/>
        <v>104</v>
      </c>
      <c r="J5" t="str">
        <f t="shared" si="1"/>
        <v>Vending Staff</v>
      </c>
      <c r="K5">
        <f t="shared" si="2"/>
        <v>0</v>
      </c>
      <c r="M5">
        <f>VLOOKUP(A5,'Cross ref Tab'!A:E,3,FALSE)</f>
        <v>1320</v>
      </c>
      <c r="O5">
        <f>VLOOKUP(A5,Workings!A:D,3,FALSE)-H5</f>
        <v>-3601175</v>
      </c>
      <c r="Q5">
        <f>SUMIF('Approved 15-16 budget'!B:B,A5,'Approved 15-16 budget'!E:E)</f>
        <v>0</v>
      </c>
      <c r="R5">
        <f>SUMIF('Approved 15-16 budget'!B:B,A5,'Approved 15-16 budget'!D:D)</f>
        <v>0</v>
      </c>
      <c r="S5">
        <f t="shared" si="3"/>
        <v>0</v>
      </c>
    </row>
    <row r="6" spans="1:19" ht="12.75">
      <c r="A6" s="251">
        <v>105</v>
      </c>
      <c r="B6" s="251" t="s">
        <v>68</v>
      </c>
      <c r="C6" s="251">
        <v>144622</v>
      </c>
      <c r="D6">
        <v>4</v>
      </c>
      <c r="E6">
        <v>509659</v>
      </c>
      <c r="F6">
        <v>509659</v>
      </c>
      <c r="G6">
        <v>0</v>
      </c>
      <c r="H6">
        <v>509659</v>
      </c>
      <c r="I6">
        <f t="shared" si="0"/>
        <v>105</v>
      </c>
      <c r="J6" t="str">
        <f t="shared" si="1"/>
        <v>Premises Staff</v>
      </c>
      <c r="K6">
        <f t="shared" si="2"/>
        <v>144622</v>
      </c>
      <c r="M6">
        <f>VLOOKUP(A6,'Cross ref Tab'!A:E,3,FALSE)</f>
        <v>1310</v>
      </c>
      <c r="O6">
        <f>VLOOKUP(A6,Workings!A:D,3,FALSE)-H6</f>
        <v>-362037</v>
      </c>
      <c r="Q6">
        <f>SUMIF('Approved 15-16 budget'!B:B,A6,'Approved 15-16 budget'!E:E)</f>
        <v>0</v>
      </c>
      <c r="R6">
        <f>SUMIF('Approved 15-16 budget'!B:B,A6,'Approved 15-16 budget'!D:D)</f>
        <v>0</v>
      </c>
      <c r="S6">
        <f t="shared" si="3"/>
        <v>144622</v>
      </c>
    </row>
    <row r="7" spans="1:19" ht="12.75">
      <c r="A7" s="251">
        <v>106</v>
      </c>
      <c r="B7" s="251" t="s">
        <v>69</v>
      </c>
      <c r="C7" s="251">
        <v>4140</v>
      </c>
      <c r="D7">
        <v>4</v>
      </c>
      <c r="E7">
        <v>128274</v>
      </c>
      <c r="F7">
        <v>93274</v>
      </c>
      <c r="G7">
        <v>0</v>
      </c>
      <c r="H7">
        <v>93274</v>
      </c>
      <c r="I7">
        <f t="shared" si="0"/>
        <v>106</v>
      </c>
      <c r="J7" t="str">
        <f t="shared" si="1"/>
        <v>Midday Supervisors</v>
      </c>
      <c r="K7">
        <f t="shared" si="2"/>
        <v>4140</v>
      </c>
      <c r="M7">
        <f>VLOOKUP(A7,'Cross ref Tab'!A:E,3,FALSE)</f>
        <v>1220</v>
      </c>
      <c r="O7">
        <f>VLOOKUP(A7,Workings!A:D,3,FALSE)-H7</f>
        <v>-89134</v>
      </c>
      <c r="Q7">
        <f>SUMIF('Approved 15-16 budget'!B:B,A7,'Approved 15-16 budget'!E:E)</f>
        <v>0</v>
      </c>
      <c r="R7">
        <f>SUMIF('Approved 15-16 budget'!B:B,A7,'Approved 15-16 budget'!D:D)</f>
        <v>0</v>
      </c>
      <c r="S7">
        <f t="shared" si="3"/>
        <v>4140</v>
      </c>
    </row>
    <row r="8" spans="1:19" ht="12.75">
      <c r="A8" s="251">
        <v>107</v>
      </c>
      <c r="B8" s="251" t="s">
        <v>70</v>
      </c>
      <c r="C8" s="251">
        <v>0</v>
      </c>
      <c r="D8">
        <v>4</v>
      </c>
      <c r="E8">
        <v>69197</v>
      </c>
      <c r="F8">
        <v>69197</v>
      </c>
      <c r="G8">
        <v>0</v>
      </c>
      <c r="H8">
        <v>69197</v>
      </c>
      <c r="I8">
        <f t="shared" si="0"/>
        <v>107</v>
      </c>
      <c r="J8" t="str">
        <f t="shared" si="1"/>
        <v>Music Peri Teachers</v>
      </c>
      <c r="K8">
        <f t="shared" si="2"/>
        <v>0</v>
      </c>
      <c r="M8">
        <f>VLOOKUP(A8,'Cross ref Tab'!A:E,3,FALSE)</f>
        <v>1000</v>
      </c>
      <c r="O8">
        <f>VLOOKUP(A8,Workings!A:D,3,FALSE)-H8</f>
        <v>-69197</v>
      </c>
      <c r="Q8">
        <f>SUMIF('Approved 15-16 budget'!B:B,A8,'Approved 15-16 budget'!E:E)</f>
        <v>0</v>
      </c>
      <c r="R8">
        <f>SUMIF('Approved 15-16 budget'!B:B,A8,'Approved 15-16 budget'!D:D)</f>
        <v>0</v>
      </c>
      <c r="S8">
        <f t="shared" si="3"/>
        <v>0</v>
      </c>
    </row>
    <row r="9" spans="1:19" ht="12.75">
      <c r="A9" s="251">
        <v>108</v>
      </c>
      <c r="B9" s="251" t="s">
        <v>71</v>
      </c>
      <c r="C9" s="251">
        <v>3270579</v>
      </c>
      <c r="D9">
        <v>4</v>
      </c>
      <c r="E9">
        <v>290983</v>
      </c>
      <c r="F9">
        <v>290983</v>
      </c>
      <c r="G9">
        <v>0</v>
      </c>
      <c r="H9">
        <v>290983</v>
      </c>
      <c r="I9">
        <f t="shared" si="0"/>
        <v>108</v>
      </c>
      <c r="J9" t="str">
        <f t="shared" si="1"/>
        <v>Teachers-Main Scale</v>
      </c>
      <c r="K9">
        <f t="shared" si="2"/>
        <v>3270579</v>
      </c>
      <c r="M9">
        <f>VLOOKUP(A9,'Cross ref Tab'!A:E,3,FALSE)</f>
        <v>1000</v>
      </c>
      <c r="O9">
        <f>VLOOKUP(A9,Workings!A:D,3,FALSE)-H9</f>
        <v>2979596</v>
      </c>
      <c r="Q9">
        <f>SUMIF('Approved 15-16 budget'!B:B,A9,'Approved 15-16 budget'!E:E)</f>
        <v>0</v>
      </c>
      <c r="R9">
        <f>SUMIF('Approved 15-16 budget'!B:B,A9,'Approved 15-16 budget'!D:D)</f>
        <v>0</v>
      </c>
      <c r="S9">
        <f t="shared" si="3"/>
        <v>3270579</v>
      </c>
    </row>
    <row r="10" spans="1:19" ht="12.75">
      <c r="A10" s="251">
        <v>112</v>
      </c>
      <c r="B10" s="251" t="s">
        <v>73</v>
      </c>
      <c r="C10" s="251">
        <v>414850</v>
      </c>
      <c r="D10">
        <v>4</v>
      </c>
      <c r="E10">
        <v>123036</v>
      </c>
      <c r="F10">
        <v>123036</v>
      </c>
      <c r="G10">
        <v>0</v>
      </c>
      <c r="H10">
        <v>123036</v>
      </c>
      <c r="I10">
        <f t="shared" si="0"/>
        <v>112</v>
      </c>
      <c r="J10" t="str">
        <f t="shared" si="1"/>
        <v>Leadership</v>
      </c>
      <c r="K10">
        <f t="shared" si="2"/>
        <v>414850</v>
      </c>
      <c r="M10">
        <f>VLOOKUP(A10,'Cross ref Tab'!A:E,3,FALSE)</f>
        <v>1000</v>
      </c>
      <c r="O10">
        <f>VLOOKUP(A10,Workings!A:D,3,FALSE)-H10</f>
        <v>291814</v>
      </c>
      <c r="Q10">
        <f>SUMIF('Approved 15-16 budget'!B:B,A10,'Approved 15-16 budget'!E:E)</f>
        <v>0</v>
      </c>
      <c r="R10">
        <f>SUMIF('Approved 15-16 budget'!B:B,A10,'Approved 15-16 budget'!D:D)</f>
        <v>0</v>
      </c>
      <c r="S10">
        <f t="shared" si="3"/>
        <v>414850</v>
      </c>
    </row>
    <row r="11" spans="1:19" ht="12.75">
      <c r="A11" s="251">
        <v>113</v>
      </c>
      <c r="B11" s="251" t="s">
        <v>74</v>
      </c>
      <c r="C11" s="251">
        <v>56100</v>
      </c>
      <c r="D11">
        <v>4</v>
      </c>
      <c r="E11">
        <v>186833</v>
      </c>
      <c r="F11">
        <v>184833</v>
      </c>
      <c r="G11">
        <v>0</v>
      </c>
      <c r="H11">
        <v>184833</v>
      </c>
      <c r="I11">
        <f t="shared" si="0"/>
        <v>113</v>
      </c>
      <c r="J11" t="str">
        <f t="shared" si="1"/>
        <v>Unqual Teachers</v>
      </c>
      <c r="K11">
        <f t="shared" si="2"/>
        <v>56100</v>
      </c>
      <c r="M11">
        <f>VLOOKUP(A11,'Cross ref Tab'!A:E,3,FALSE)</f>
        <v>1000</v>
      </c>
      <c r="O11">
        <f>VLOOKUP(A11,Workings!A:D,3,FALSE)-H11</f>
        <v>-128733</v>
      </c>
      <c r="Q11">
        <f>SUMIF('Approved 15-16 budget'!B:B,A11,'Approved 15-16 budget'!E:E)</f>
        <v>0</v>
      </c>
      <c r="R11">
        <f>SUMIF('Approved 15-16 budget'!B:B,A11,'Approved 15-16 budget'!D:D)</f>
        <v>0</v>
      </c>
      <c r="S11">
        <f t="shared" si="3"/>
        <v>56100</v>
      </c>
    </row>
    <row r="12" spans="1:19" ht="12.75">
      <c r="A12" s="251">
        <v>114</v>
      </c>
      <c r="B12" s="251" t="s">
        <v>75</v>
      </c>
      <c r="C12" s="251">
        <v>32331</v>
      </c>
      <c r="D12">
        <v>4</v>
      </c>
      <c r="E12">
        <v>134990</v>
      </c>
      <c r="F12">
        <v>134990</v>
      </c>
      <c r="G12">
        <v>0</v>
      </c>
      <c r="H12">
        <v>134990</v>
      </c>
      <c r="I12">
        <f t="shared" si="0"/>
        <v>114</v>
      </c>
      <c r="J12" t="str">
        <f t="shared" si="1"/>
        <v>Cover Supervisors</v>
      </c>
      <c r="K12">
        <f t="shared" si="2"/>
        <v>32331</v>
      </c>
      <c r="M12">
        <f>VLOOKUP(A12,'Cross ref Tab'!A:E,3,FALSE)</f>
        <v>1220</v>
      </c>
      <c r="O12">
        <f>VLOOKUP(A12,Workings!A:D,3,FALSE)-H12</f>
        <v>-102659</v>
      </c>
      <c r="Q12">
        <f>SUMIF('Approved 15-16 budget'!B:B,A12,'Approved 15-16 budget'!E:E)</f>
        <v>0</v>
      </c>
      <c r="R12">
        <f>SUMIF('Approved 15-16 budget'!B:B,A12,'Approved 15-16 budget'!D:D)</f>
        <v>0</v>
      </c>
      <c r="S12">
        <f t="shared" si="3"/>
        <v>32331</v>
      </c>
    </row>
    <row r="13" spans="1:19" ht="12.75">
      <c r="A13" s="251">
        <v>115</v>
      </c>
      <c r="B13" s="251" t="s">
        <v>555</v>
      </c>
      <c r="C13" s="251">
        <v>286779</v>
      </c>
      <c r="D13">
        <v>4</v>
      </c>
      <c r="E13">
        <v>88000</v>
      </c>
      <c r="F13">
        <v>88000</v>
      </c>
      <c r="G13">
        <v>0</v>
      </c>
      <c r="H13">
        <v>88000</v>
      </c>
      <c r="I13">
        <f t="shared" si="0"/>
        <v>115</v>
      </c>
      <c r="J13" t="str">
        <f t="shared" si="1"/>
        <v>Pastoral Staff</v>
      </c>
      <c r="K13">
        <f t="shared" si="2"/>
        <v>286779</v>
      </c>
      <c r="M13">
        <f>VLOOKUP(A13,'Cross ref Tab'!A:E,3,FALSE)</f>
        <v>1220</v>
      </c>
      <c r="O13">
        <f>VLOOKUP(A13,Workings!A:D,3,FALSE)-H13</f>
        <v>198779</v>
      </c>
      <c r="Q13">
        <f>SUMIF('Approved 15-16 budget'!B:B,A13,'Approved 15-16 budget'!E:E)</f>
        <v>0</v>
      </c>
      <c r="R13">
        <f>SUMIF('Approved 15-16 budget'!B:B,A13,'Approved 15-16 budget'!D:D)</f>
        <v>0</v>
      </c>
      <c r="S13">
        <f t="shared" si="3"/>
        <v>286779</v>
      </c>
    </row>
    <row r="14" spans="1:19" ht="12.75">
      <c r="A14" s="251">
        <v>116</v>
      </c>
      <c r="B14" s="251" t="s">
        <v>77</v>
      </c>
      <c r="C14" s="251">
        <v>124654</v>
      </c>
      <c r="D14">
        <v>4</v>
      </c>
      <c r="E14">
        <v>27277</v>
      </c>
      <c r="F14">
        <v>27277</v>
      </c>
      <c r="G14">
        <v>0</v>
      </c>
      <c r="H14">
        <v>27277</v>
      </c>
      <c r="I14">
        <f t="shared" si="0"/>
        <v>116</v>
      </c>
      <c r="J14" t="str">
        <f t="shared" si="1"/>
        <v>Dept Technicians</v>
      </c>
      <c r="K14">
        <f t="shared" si="2"/>
        <v>124654</v>
      </c>
      <c r="M14">
        <f>VLOOKUP(A14,'Cross ref Tab'!A:E,3,FALSE)</f>
        <v>1230</v>
      </c>
      <c r="O14">
        <f>VLOOKUP(A14,Workings!A:D,3,FALSE)-H14</f>
        <v>97377</v>
      </c>
      <c r="Q14">
        <f>SUMIF('Approved 15-16 budget'!B:B,A14,'Approved 15-16 budget'!E:E)</f>
        <v>0</v>
      </c>
      <c r="R14">
        <f>SUMIF('Approved 15-16 budget'!B:B,A14,'Approved 15-16 budget'!D:D)</f>
        <v>0</v>
      </c>
      <c r="S14">
        <f t="shared" si="3"/>
        <v>124654</v>
      </c>
    </row>
    <row r="15" spans="1:19" ht="12.75">
      <c r="A15" s="251">
        <v>117</v>
      </c>
      <c r="B15" s="251" t="s">
        <v>78</v>
      </c>
      <c r="C15" s="251">
        <v>156952</v>
      </c>
      <c r="D15">
        <v>4</v>
      </c>
      <c r="E15">
        <v>45601</v>
      </c>
      <c r="F15">
        <v>47601</v>
      </c>
      <c r="G15">
        <v>0</v>
      </c>
      <c r="H15">
        <v>47601</v>
      </c>
      <c r="I15">
        <f t="shared" si="0"/>
        <v>117</v>
      </c>
      <c r="J15" t="str">
        <f t="shared" si="1"/>
        <v>LSA</v>
      </c>
      <c r="K15">
        <f t="shared" si="2"/>
        <v>156952</v>
      </c>
      <c r="M15">
        <f>VLOOKUP(A15,'Cross ref Tab'!A:E,3,FALSE)</f>
        <v>1220</v>
      </c>
      <c r="O15">
        <f>VLOOKUP(A15,Workings!A:D,3,FALSE)-H15</f>
        <v>126351</v>
      </c>
      <c r="Q15">
        <f>SUMIF('Approved 15-16 budget'!B:B,A15,'Approved 15-16 budget'!E:E)</f>
        <v>0</v>
      </c>
      <c r="R15">
        <f>SUMIF('Approved 15-16 budget'!B:B,A15,'Approved 15-16 budget'!D:D)</f>
        <v>0</v>
      </c>
      <c r="S15">
        <f t="shared" si="3"/>
        <v>156952</v>
      </c>
    </row>
    <row r="16" spans="1:19" ht="12.75">
      <c r="A16" s="251">
        <v>118</v>
      </c>
      <c r="B16" s="251" t="s">
        <v>79</v>
      </c>
      <c r="C16" s="251">
        <v>137517</v>
      </c>
      <c r="D16">
        <v>4</v>
      </c>
      <c r="E16">
        <v>30000</v>
      </c>
      <c r="F16">
        <v>30000</v>
      </c>
      <c r="G16">
        <v>0</v>
      </c>
      <c r="H16">
        <v>30000</v>
      </c>
      <c r="I16">
        <f t="shared" si="0"/>
        <v>118</v>
      </c>
      <c r="J16" t="str">
        <f t="shared" si="1"/>
        <v>IT Technicians</v>
      </c>
      <c r="K16">
        <f t="shared" si="2"/>
        <v>137517</v>
      </c>
      <c r="M16">
        <f>VLOOKUP(A16,'Cross ref Tab'!A:E,3,FALSE)</f>
        <v>1230</v>
      </c>
      <c r="O16">
        <f>VLOOKUP(A16,Workings!A:D,3,FALSE)-H16</f>
        <v>107517</v>
      </c>
      <c r="Q16">
        <f>SUMIF('Approved 15-16 budget'!B:B,A16,'Approved 15-16 budget'!E:E)</f>
        <v>0</v>
      </c>
      <c r="R16">
        <f>SUMIF('Approved 15-16 budget'!B:B,A16,'Approved 15-16 budget'!D:D)</f>
        <v>0</v>
      </c>
      <c r="S16">
        <f t="shared" si="3"/>
        <v>137517</v>
      </c>
    </row>
    <row r="17" spans="1:19" ht="12.75">
      <c r="A17" s="251">
        <v>120</v>
      </c>
      <c r="B17" s="251" t="s">
        <v>80</v>
      </c>
      <c r="C17" s="251">
        <v>89850</v>
      </c>
      <c r="D17">
        <v>4</v>
      </c>
      <c r="E17">
        <v>5000</v>
      </c>
      <c r="F17">
        <v>5000</v>
      </c>
      <c r="G17">
        <v>0</v>
      </c>
      <c r="H17">
        <v>5000</v>
      </c>
      <c r="I17">
        <f t="shared" si="0"/>
        <v>120</v>
      </c>
      <c r="J17" t="str">
        <f t="shared" si="1"/>
        <v>Science Technicians</v>
      </c>
      <c r="K17">
        <f t="shared" si="2"/>
        <v>89850</v>
      </c>
      <c r="M17">
        <f>VLOOKUP(A17,'Cross ref Tab'!A:E,3,FALSE)</f>
        <v>1230</v>
      </c>
      <c r="O17">
        <f>VLOOKUP(A17,Workings!A:D,3,FALSE)-H17</f>
        <v>84850</v>
      </c>
      <c r="Q17">
        <f>SUMIF('Approved 15-16 budget'!B:B,A17,'Approved 15-16 budget'!E:E)</f>
        <v>0</v>
      </c>
      <c r="R17">
        <f>SUMIF('Approved 15-16 budget'!B:B,A17,'Approved 15-16 budget'!D:D)</f>
        <v>0</v>
      </c>
      <c r="S17">
        <f t="shared" si="3"/>
        <v>89850</v>
      </c>
    </row>
    <row r="18" spans="1:19" ht="12.75">
      <c r="A18" s="251">
        <v>121</v>
      </c>
      <c r="B18" s="251" t="s">
        <v>81</v>
      </c>
      <c r="C18" s="251">
        <v>19652</v>
      </c>
      <c r="D18">
        <v>4</v>
      </c>
      <c r="E18">
        <v>92000</v>
      </c>
      <c r="F18">
        <v>92000</v>
      </c>
      <c r="G18">
        <v>0</v>
      </c>
      <c r="H18">
        <v>92000</v>
      </c>
      <c r="I18">
        <f t="shared" si="0"/>
        <v>121</v>
      </c>
      <c r="J18" t="str">
        <f t="shared" si="1"/>
        <v>Library Staff</v>
      </c>
      <c r="K18">
        <f t="shared" si="2"/>
        <v>19652</v>
      </c>
      <c r="M18">
        <f>VLOOKUP(A18,'Cross ref Tab'!A:E,3,FALSE)</f>
        <v>1220</v>
      </c>
      <c r="O18">
        <f>VLOOKUP(A18,Workings!A:D,3,FALSE)-H18</f>
        <v>-72348</v>
      </c>
      <c r="Q18">
        <f>SUMIF('Approved 15-16 budget'!B:B,A18,'Approved 15-16 budget'!E:E)</f>
        <v>0</v>
      </c>
      <c r="R18">
        <f>SUMIF('Approved 15-16 budget'!B:B,A18,'Approved 15-16 budget'!D:D)</f>
        <v>0</v>
      </c>
      <c r="S18">
        <f t="shared" si="3"/>
        <v>19652</v>
      </c>
    </row>
    <row r="19" spans="1:19" ht="12.75">
      <c r="A19" s="251">
        <v>122</v>
      </c>
      <c r="B19" s="251" t="s">
        <v>82</v>
      </c>
      <c r="C19" s="251">
        <v>32032</v>
      </c>
      <c r="D19">
        <v>4</v>
      </c>
      <c r="E19">
        <v>-6633849</v>
      </c>
      <c r="F19">
        <v>0</v>
      </c>
      <c r="G19">
        <v>-6633849</v>
      </c>
      <c r="H19">
        <v>-6633849</v>
      </c>
      <c r="I19">
        <f t="shared" si="0"/>
        <v>122</v>
      </c>
      <c r="J19" t="str">
        <f t="shared" si="1"/>
        <v>Student Services</v>
      </c>
      <c r="K19">
        <f t="shared" si="2"/>
        <v>32032</v>
      </c>
      <c r="M19">
        <f>VLOOKUP(A19,'Cross ref Tab'!A:E,3,FALSE)</f>
        <v>1220</v>
      </c>
      <c r="O19">
        <f>VLOOKUP(A19,Workings!A:D,3,FALSE)-H19</f>
        <v>6665881</v>
      </c>
      <c r="Q19">
        <f>SUMIF('Approved 15-16 budget'!B:B,A19,'Approved 15-16 budget'!E:E)</f>
        <v>0</v>
      </c>
      <c r="R19">
        <f>SUMIF('Approved 15-16 budget'!B:B,A19,'Approved 15-16 budget'!D:D)</f>
        <v>0</v>
      </c>
      <c r="S19">
        <f t="shared" si="3"/>
        <v>32032</v>
      </c>
    </row>
    <row r="20" spans="1:19" ht="12.75">
      <c r="A20" s="251">
        <v>150</v>
      </c>
      <c r="B20" s="251" t="s">
        <v>83</v>
      </c>
      <c r="C20" s="251">
        <v>20000</v>
      </c>
      <c r="D20">
        <v>4</v>
      </c>
      <c r="E20">
        <v>-86681</v>
      </c>
      <c r="F20">
        <v>0</v>
      </c>
      <c r="G20">
        <v>-86681</v>
      </c>
      <c r="H20">
        <v>-86681</v>
      </c>
      <c r="I20">
        <f t="shared" si="0"/>
        <v>150</v>
      </c>
      <c r="J20" t="str">
        <f t="shared" si="1"/>
        <v>Supply Cost</v>
      </c>
      <c r="K20">
        <f t="shared" si="2"/>
        <v>20000</v>
      </c>
      <c r="M20">
        <f>VLOOKUP(A20,'Cross ref Tab'!A:E,3,FALSE)</f>
        <v>1200</v>
      </c>
      <c r="O20">
        <f>VLOOKUP(A20,Workings!A:D,3,FALSE)-H20</f>
        <v>106681</v>
      </c>
      <c r="Q20">
        <f>SUMIF('Approved 15-16 budget'!B:B,A20,'Approved 15-16 budget'!E:E)</f>
        <v>0</v>
      </c>
      <c r="R20">
        <f>SUMIF('Approved 15-16 budget'!B:B,A20,'Approved 15-16 budget'!D:D)</f>
        <v>0</v>
      </c>
      <c r="S20">
        <f t="shared" si="3"/>
        <v>20000</v>
      </c>
    </row>
    <row r="21" spans="1:19" ht="12.75">
      <c r="A21" s="251">
        <v>151</v>
      </c>
      <c r="B21" s="251" t="s">
        <v>84</v>
      </c>
      <c r="C21" s="251">
        <v>4000</v>
      </c>
      <c r="D21">
        <v>4</v>
      </c>
      <c r="E21">
        <v>-612447</v>
      </c>
      <c r="F21">
        <v>0</v>
      </c>
      <c r="G21">
        <v>-825837</v>
      </c>
      <c r="H21">
        <v>-825837</v>
      </c>
      <c r="I21">
        <f t="shared" si="0"/>
        <v>151</v>
      </c>
      <c r="J21" t="str">
        <f t="shared" si="1"/>
        <v>Other Staff Cost</v>
      </c>
      <c r="K21">
        <f t="shared" si="2"/>
        <v>4000</v>
      </c>
      <c r="M21">
        <f>VLOOKUP(A21,'Cross ref Tab'!A:E,3,FALSE)</f>
        <v>2200</v>
      </c>
      <c r="O21">
        <f>VLOOKUP(A21,Workings!A:D,3,FALSE)-H21</f>
        <v>829837</v>
      </c>
      <c r="R21">
        <f>SUMIF('Approved 15-16 budget'!B:B,A21,'Approved 15-16 budget'!D:D)</f>
        <v>0</v>
      </c>
      <c r="S21">
        <f t="shared" si="3"/>
        <v>4000</v>
      </c>
    </row>
    <row r="22" spans="1:19" ht="12.75">
      <c r="A22" s="251">
        <v>158</v>
      </c>
      <c r="B22" s="251" t="s">
        <v>86</v>
      </c>
      <c r="C22" s="251">
        <v>92000</v>
      </c>
      <c r="D22">
        <v>4</v>
      </c>
      <c r="E22">
        <v>0</v>
      </c>
      <c r="F22">
        <v>0</v>
      </c>
      <c r="G22">
        <v>-214212</v>
      </c>
      <c r="H22">
        <v>-214212</v>
      </c>
      <c r="I22">
        <f t="shared" si="0"/>
        <v>158</v>
      </c>
      <c r="J22" t="str">
        <f t="shared" si="1"/>
        <v>Pension Deficiency</v>
      </c>
      <c r="K22">
        <f t="shared" si="2"/>
        <v>92000</v>
      </c>
      <c r="M22">
        <f>VLOOKUP(A22,'Cross ref Tab'!A:E,3,FALSE)</f>
        <v>1240</v>
      </c>
      <c r="O22">
        <f>VLOOKUP(A22,Workings!A:D,3,FALSE)-H22</f>
        <v>306212</v>
      </c>
      <c r="Q22">
        <f>SUMIF('Approved 15-16 budget'!B:B,A22,'Approved 15-16 budget'!E:E)</f>
        <v>0</v>
      </c>
      <c r="R22">
        <f>SUMIF('Approved 15-16 budget'!B:B,A22,'Approved 15-16 budget'!D:D)</f>
        <v>0</v>
      </c>
      <c r="S22">
        <f t="shared" si="3"/>
        <v>92000</v>
      </c>
    </row>
    <row r="23" spans="1:19" ht="12.75">
      <c r="A23" s="251">
        <v>200</v>
      </c>
      <c r="B23" s="251" t="s">
        <v>556</v>
      </c>
      <c r="C23" s="251">
        <v>-6008596</v>
      </c>
      <c r="D23">
        <v>4</v>
      </c>
      <c r="E23">
        <v>0</v>
      </c>
      <c r="F23">
        <v>212417</v>
      </c>
      <c r="G23">
        <v>0</v>
      </c>
      <c r="H23">
        <v>212417</v>
      </c>
      <c r="I23">
        <f t="shared" si="0"/>
        <v>200</v>
      </c>
      <c r="J23" t="str">
        <f t="shared" si="1"/>
        <v>EFA Income</v>
      </c>
      <c r="K23">
        <f t="shared" si="2"/>
        <v>-6008596</v>
      </c>
      <c r="M23">
        <f>VLOOKUP(A23,'Cross ref Tab'!A:E,3,FALSE)</f>
        <v>5100</v>
      </c>
      <c r="O23">
        <f>VLOOKUP(A23,Workings!A:D,3,FALSE)-H23</f>
        <v>-6221013</v>
      </c>
      <c r="Q23">
        <f>SUMIF('Approved 15-16 budget'!B:B,A23,'Approved 15-16 budget'!E:E)</f>
        <v>0</v>
      </c>
      <c r="R23">
        <f>SUMIF('Approved 15-16 budget'!B:B,A23,'Approved 15-16 budget'!D:D)</f>
        <v>0</v>
      </c>
      <c r="S23">
        <f t="shared" si="3"/>
        <v>-6008596</v>
      </c>
    </row>
    <row r="24" spans="1:19" ht="12.75">
      <c r="A24" s="251">
        <v>201</v>
      </c>
      <c r="B24" s="251" t="s">
        <v>88</v>
      </c>
      <c r="C24" s="251">
        <v>-313570</v>
      </c>
      <c r="D24">
        <v>4</v>
      </c>
      <c r="E24">
        <v>0</v>
      </c>
      <c r="F24">
        <v>29749</v>
      </c>
      <c r="G24">
        <v>0</v>
      </c>
      <c r="H24">
        <v>29749</v>
      </c>
      <c r="I24">
        <f t="shared" si="0"/>
        <v>201</v>
      </c>
      <c r="J24" t="str">
        <f t="shared" si="1"/>
        <v>LEA Income</v>
      </c>
      <c r="K24">
        <f t="shared" si="2"/>
        <v>-313570</v>
      </c>
      <c r="M24">
        <f>VLOOKUP(A24,'Cross ref Tab'!A:E,3,FALSE)</f>
        <v>5300</v>
      </c>
      <c r="O24">
        <f>VLOOKUP(A24,Workings!A:D,3,FALSE)-H24</f>
        <v>-343319</v>
      </c>
      <c r="Q24">
        <f>SUMIF('Approved 15-16 budget'!B:B,A24,'Approved 15-16 budget'!E:E)</f>
        <v>0</v>
      </c>
      <c r="R24">
        <f>SUMIF('Approved 15-16 budget'!B:B,A24,'Approved 15-16 budget'!D:D)</f>
        <v>0</v>
      </c>
      <c r="S24">
        <f t="shared" si="3"/>
        <v>-313570</v>
      </c>
    </row>
    <row r="25" spans="1:19" ht="12.75">
      <c r="A25" s="251">
        <v>202</v>
      </c>
      <c r="B25" s="251" t="s">
        <v>557</v>
      </c>
      <c r="C25" s="251">
        <v>-188883</v>
      </c>
      <c r="D25">
        <v>4</v>
      </c>
      <c r="E25">
        <v>2500</v>
      </c>
      <c r="F25">
        <v>2750</v>
      </c>
      <c r="G25">
        <v>0</v>
      </c>
      <c r="H25">
        <v>2750</v>
      </c>
      <c r="I25">
        <f t="shared" si="0"/>
        <v>202</v>
      </c>
      <c r="J25" t="str">
        <f t="shared" si="1"/>
        <v>Bwt Fwd - Restricted Fund</v>
      </c>
      <c r="K25">
        <f t="shared" si="2"/>
        <v>-188883</v>
      </c>
      <c r="M25">
        <f>VLOOKUP(A25,'Cross ref Tab'!A:E,3,FALSE)</f>
        <v>5200</v>
      </c>
      <c r="O25">
        <f>VLOOKUP(A25,Workings!A:D,3,FALSE)-H25</f>
        <v>-191633</v>
      </c>
      <c r="Q25">
        <f>SUMIF('Approved 15-16 budget'!B:B,A25,'Approved 15-16 budget'!E:E)</f>
        <v>0</v>
      </c>
      <c r="R25">
        <f>SUMIF('Approved 15-16 budget'!B:B,A25,'Approved 15-16 budget'!D:D)</f>
        <v>0</v>
      </c>
      <c r="S25">
        <f t="shared" si="3"/>
        <v>-188883</v>
      </c>
    </row>
    <row r="26" spans="1:19" ht="12.75">
      <c r="A26" s="251">
        <v>203</v>
      </c>
      <c r="B26" s="251" t="s">
        <v>558</v>
      </c>
      <c r="C26" s="251">
        <v>-142534</v>
      </c>
      <c r="D26">
        <v>4</v>
      </c>
      <c r="E26">
        <v>0</v>
      </c>
      <c r="F26">
        <v>3000</v>
      </c>
      <c r="G26">
        <v>0</v>
      </c>
      <c r="H26">
        <v>3000</v>
      </c>
      <c r="I26">
        <f t="shared" si="0"/>
        <v>203</v>
      </c>
      <c r="J26" t="str">
        <f t="shared" si="1"/>
        <v>Bwt Fwd - Unrestricted</v>
      </c>
      <c r="K26">
        <f t="shared" si="2"/>
        <v>-142534</v>
      </c>
      <c r="M26">
        <f>VLOOKUP(A26,'Cross ref Tab'!A:E,3,FALSE)</f>
        <v>5200</v>
      </c>
      <c r="O26">
        <f>VLOOKUP(A26,Workings!A:D,3,FALSE)-H26</f>
        <v>-145534</v>
      </c>
      <c r="Q26">
        <f>SUMIF('Approved 15-16 budget'!B:B,A26,'Approved 15-16 budget'!E:E)</f>
        <v>0</v>
      </c>
      <c r="R26">
        <f>SUMIF('Approved 15-16 budget'!B:B,A26,'Approved 15-16 budget'!D:D)</f>
        <v>0</v>
      </c>
      <c r="S26">
        <f t="shared" si="3"/>
        <v>-142534</v>
      </c>
    </row>
    <row r="27" spans="1:19" ht="12.75">
      <c r="A27" s="251">
        <v>217</v>
      </c>
      <c r="B27" s="251" t="s">
        <v>93</v>
      </c>
      <c r="C27" s="251">
        <v>0</v>
      </c>
      <c r="D27">
        <v>4</v>
      </c>
      <c r="E27">
        <v>2000</v>
      </c>
      <c r="F27">
        <v>2000</v>
      </c>
      <c r="G27">
        <v>0</v>
      </c>
      <c r="H27">
        <v>2000</v>
      </c>
      <c r="I27">
        <f t="shared" si="0"/>
        <v>217</v>
      </c>
      <c r="J27" t="str">
        <f t="shared" si="1"/>
        <v>Donations Income</v>
      </c>
      <c r="K27">
        <f t="shared" si="2"/>
        <v>0</v>
      </c>
      <c r="M27">
        <f>VLOOKUP(A27,'Cross ref Tab'!A:E,3,FALSE)</f>
        <v>5300</v>
      </c>
      <c r="O27">
        <f>VLOOKUP(A27,Workings!A:D,3,FALSE)-H27</f>
        <v>-2000</v>
      </c>
      <c r="Q27">
        <f>SUMIF('Approved 15-16 budget'!B:B,A27,'Approved 15-16 budget'!E:E)</f>
        <v>0</v>
      </c>
      <c r="R27">
        <f>SUMIF('Approved 15-16 budget'!B:B,A27,'Approved 15-16 budget'!D:D)</f>
        <v>0</v>
      </c>
      <c r="S27">
        <f t="shared" si="3"/>
        <v>0</v>
      </c>
    </row>
    <row r="28" spans="1:19" ht="12.75">
      <c r="A28" s="251">
        <v>250</v>
      </c>
      <c r="B28" s="251" t="s">
        <v>96</v>
      </c>
      <c r="C28" s="251">
        <v>0</v>
      </c>
      <c r="D28">
        <v>4</v>
      </c>
      <c r="E28">
        <v>0</v>
      </c>
      <c r="F28">
        <v>1541</v>
      </c>
      <c r="G28">
        <v>0</v>
      </c>
      <c r="H28">
        <v>1541</v>
      </c>
      <c r="I28">
        <f t="shared" si="0"/>
        <v>250</v>
      </c>
      <c r="J28" t="str">
        <f t="shared" si="1"/>
        <v>S106 Income</v>
      </c>
      <c r="K28">
        <f t="shared" si="2"/>
        <v>0</v>
      </c>
      <c r="M28">
        <f>VLOOKUP(A28,'Cross ref Tab'!A:E,3,FALSE)</f>
        <v>6200</v>
      </c>
      <c r="O28">
        <f>VLOOKUP(A28,Workings!A:D,3,FALSE)-H28</f>
        <v>-1541</v>
      </c>
      <c r="Q28">
        <f>SUMIF('Approved 15-16 budget'!B:B,A28,'Approved 15-16 budget'!E:E)</f>
        <v>0</v>
      </c>
      <c r="R28">
        <f>SUMIF('Approved 15-16 budget'!B:B,A28,'Approved 15-16 budget'!D:D)</f>
        <v>0</v>
      </c>
      <c r="S28">
        <f t="shared" si="3"/>
        <v>0</v>
      </c>
    </row>
    <row r="29" spans="1:19" ht="12.75">
      <c r="A29" s="251">
        <v>251</v>
      </c>
      <c r="B29" s="251" t="s">
        <v>522</v>
      </c>
      <c r="C29" s="251">
        <v>0</v>
      </c>
      <c r="D29">
        <v>4</v>
      </c>
      <c r="E29">
        <v>1500</v>
      </c>
      <c r="F29">
        <v>1500</v>
      </c>
      <c r="G29">
        <v>0</v>
      </c>
      <c r="H29">
        <v>1500</v>
      </c>
      <c r="I29">
        <f t="shared" si="0"/>
        <v>251</v>
      </c>
      <c r="J29" t="str">
        <f t="shared" si="1"/>
        <v>EFA Capital Maint-Roofing-Inc</v>
      </c>
      <c r="K29">
        <f t="shared" si="2"/>
        <v>0</v>
      </c>
      <c r="M29">
        <f>VLOOKUP(A29,'Cross ref Tab'!A:E,3,FALSE)</f>
        <v>6200</v>
      </c>
      <c r="O29">
        <f>VLOOKUP(A29,Workings!A:D,3,FALSE)-H29</f>
        <v>-1500</v>
      </c>
      <c r="Q29">
        <f>SUMIF('Approved 15-16 budget'!B:B,A29,'Approved 15-16 budget'!E:E)</f>
        <v>0</v>
      </c>
      <c r="R29">
        <f>SUMIF('Approved 15-16 budget'!B:B,A29,'Approved 15-16 budget'!D:D)</f>
        <v>0</v>
      </c>
      <c r="S29">
        <f t="shared" si="3"/>
        <v>0</v>
      </c>
    </row>
    <row r="30" spans="1:19" ht="12.75">
      <c r="A30" s="251">
        <v>254</v>
      </c>
      <c r="B30" s="251" t="s">
        <v>696</v>
      </c>
      <c r="C30" s="251">
        <v>-789570</v>
      </c>
      <c r="D30">
        <v>4</v>
      </c>
      <c r="E30">
        <v>0</v>
      </c>
      <c r="F30">
        <v>1574</v>
      </c>
      <c r="G30">
        <v>0</v>
      </c>
      <c r="H30">
        <v>1574</v>
      </c>
      <c r="I30">
        <f t="shared" si="0"/>
        <v>254</v>
      </c>
      <c r="J30" t="str">
        <f t="shared" si="1"/>
        <v>EFA Capital Windows 2015 Income</v>
      </c>
      <c r="K30">
        <f t="shared" si="2"/>
        <v>-789570</v>
      </c>
      <c r="M30">
        <f>VLOOKUP(A30,'Cross ref Tab'!A:E,3,FALSE)</f>
        <v>6200</v>
      </c>
      <c r="O30">
        <f>VLOOKUP(A30,Workings!A:D,3,FALSE)-H30</f>
        <v>-791144</v>
      </c>
      <c r="Q30">
        <f>SUMIF('Approved 15-16 budget'!B:B,A30,'Approved 15-16 budget'!E:E)</f>
        <v>0</v>
      </c>
      <c r="R30">
        <f>SUMIF('Approved 15-16 budget'!B:B,A30,'Approved 15-16 budget'!D:D)</f>
        <v>0</v>
      </c>
      <c r="S30">
        <f t="shared" si="3"/>
        <v>-789570</v>
      </c>
    </row>
    <row r="31" spans="1:19" ht="12.75">
      <c r="A31" s="251">
        <v>256</v>
      </c>
      <c r="B31" s="251" t="s">
        <v>613</v>
      </c>
      <c r="C31" s="251">
        <v>0</v>
      </c>
      <c r="D31">
        <v>4</v>
      </c>
      <c r="E31">
        <v>350</v>
      </c>
      <c r="F31">
        <v>350</v>
      </c>
      <c r="G31">
        <v>0</v>
      </c>
      <c r="H31">
        <v>350</v>
      </c>
      <c r="I31">
        <f t="shared" si="0"/>
        <v>256</v>
      </c>
      <c r="J31" t="str">
        <f t="shared" si="1"/>
        <v>EFA Capital Maint Pipes 2014-Inc</v>
      </c>
      <c r="K31">
        <f t="shared" si="2"/>
        <v>0</v>
      </c>
      <c r="M31">
        <f>VLOOKUP(A31,'Cross ref Tab'!A:E,3,FALSE)</f>
        <v>6200</v>
      </c>
      <c r="O31">
        <f>VLOOKUP(A31,Workings!A:D,3,FALSE)-H31</f>
        <v>-350</v>
      </c>
      <c r="Q31">
        <f>SUMIF('Approved 15-16 budget'!B:B,A31,'Approved 15-16 budget'!E:E)</f>
        <v>0</v>
      </c>
      <c r="R31">
        <f>SUMIF('Approved 15-16 budget'!B:B,A31,'Approved 15-16 budget'!D:D)</f>
        <v>0</v>
      </c>
      <c r="S31">
        <f t="shared" si="3"/>
        <v>0</v>
      </c>
    </row>
    <row r="32" spans="1:19" ht="12.75">
      <c r="A32" s="251">
        <v>299</v>
      </c>
      <c r="B32" s="251" t="s">
        <v>559</v>
      </c>
      <c r="C32" s="251">
        <v>0</v>
      </c>
      <c r="D32">
        <v>4</v>
      </c>
      <c r="E32">
        <v>6000</v>
      </c>
      <c r="F32">
        <v>6000</v>
      </c>
      <c r="G32">
        <v>0</v>
      </c>
      <c r="H32">
        <v>6000</v>
      </c>
      <c r="I32">
        <f t="shared" si="0"/>
        <v>299</v>
      </c>
      <c r="J32" t="str">
        <f t="shared" si="1"/>
        <v>Contingency - Unrestricted</v>
      </c>
      <c r="K32">
        <f t="shared" si="2"/>
        <v>0</v>
      </c>
      <c r="M32">
        <f>VLOOKUP(A32,'Cross ref Tab'!A:E,3,FALSE)</f>
        <v>3200</v>
      </c>
      <c r="O32">
        <f>VLOOKUP(A32,Workings!A:D,3,FALSE)-H32</f>
        <v>-6000</v>
      </c>
      <c r="Q32">
        <f>SUMIF('Approved 15-16 budget'!B:B,A32,'Approved 15-16 budget'!E:E)</f>
        <v>0</v>
      </c>
      <c r="R32">
        <f>SUMIF('Approved 15-16 budget'!B:B,A32,'Approved 15-16 budget'!D:D)</f>
        <v>0</v>
      </c>
      <c r="S32">
        <f t="shared" si="3"/>
        <v>0</v>
      </c>
    </row>
    <row r="33" spans="1:19" ht="12.75">
      <c r="A33" s="251">
        <v>300</v>
      </c>
      <c r="B33" s="251" t="s">
        <v>560</v>
      </c>
      <c r="C33" s="251">
        <v>17</v>
      </c>
      <c r="D33">
        <v>4</v>
      </c>
      <c r="E33">
        <v>2500</v>
      </c>
      <c r="F33">
        <v>2500</v>
      </c>
      <c r="G33">
        <v>0</v>
      </c>
      <c r="H33">
        <v>2500</v>
      </c>
      <c r="I33">
        <f t="shared" si="0"/>
        <v>300</v>
      </c>
      <c r="J33" t="str">
        <f t="shared" si="1"/>
        <v>Contingency Restricted</v>
      </c>
      <c r="K33">
        <f t="shared" si="2"/>
        <v>17</v>
      </c>
      <c r="M33">
        <f>VLOOKUP(A33,'Cross ref Tab'!A:E,3,FALSE)</f>
        <v>3200</v>
      </c>
      <c r="O33">
        <f>VLOOKUP(A33,Workings!A:D,3,FALSE)-H33</f>
        <v>-2483</v>
      </c>
      <c r="Q33">
        <f>SUMIF('Approved 15-16 budget'!B:B,A33,'Approved 15-16 budget'!E:E)</f>
        <v>0</v>
      </c>
      <c r="R33">
        <f>SUMIF('Approved 15-16 budget'!B:B,A33,'Approved 15-16 budget'!D:D)</f>
        <v>0</v>
      </c>
      <c r="S33">
        <f t="shared" si="3"/>
        <v>17</v>
      </c>
    </row>
    <row r="34" spans="1:19" ht="12.75">
      <c r="A34" s="251">
        <v>301</v>
      </c>
      <c r="B34" s="251" t="s">
        <v>99</v>
      </c>
      <c r="C34" s="251">
        <v>2200</v>
      </c>
      <c r="D34">
        <v>4</v>
      </c>
      <c r="E34">
        <v>2500</v>
      </c>
      <c r="F34">
        <v>1500</v>
      </c>
      <c r="G34">
        <v>0</v>
      </c>
      <c r="H34">
        <v>1500</v>
      </c>
      <c r="I34">
        <f t="shared" si="0"/>
        <v>301</v>
      </c>
      <c r="J34" t="str">
        <f t="shared" si="1"/>
        <v>Art</v>
      </c>
      <c r="K34">
        <f t="shared" si="2"/>
        <v>2200</v>
      </c>
      <c r="M34">
        <f>VLOOKUP(A34,'Cross ref Tab'!A:E,3,FALSE)</f>
        <v>1600</v>
      </c>
      <c r="O34">
        <f>VLOOKUP(A34,Workings!A:D,3,FALSE)-H34</f>
        <v>700</v>
      </c>
      <c r="Q34">
        <f>SUMIF('Approved 15-16 budget'!B:B,A34,'Approved 15-16 budget'!E:E)</f>
        <v>0</v>
      </c>
      <c r="R34">
        <f>SUMIF('Approved 15-16 budget'!B:B,A34,'Approved 15-16 budget'!D:D)</f>
        <v>0</v>
      </c>
      <c r="S34">
        <f t="shared" si="3"/>
        <v>2200</v>
      </c>
    </row>
    <row r="35" spans="1:19" ht="12.75">
      <c r="A35" s="251">
        <v>302</v>
      </c>
      <c r="B35" s="251" t="s">
        <v>626</v>
      </c>
      <c r="C35" s="251">
        <v>3000</v>
      </c>
      <c r="D35">
        <v>4</v>
      </c>
      <c r="E35">
        <v>1500</v>
      </c>
      <c r="F35">
        <v>2500</v>
      </c>
      <c r="G35">
        <v>0</v>
      </c>
      <c r="H35">
        <v>2500</v>
      </c>
      <c r="I35">
        <f t="shared" si="0"/>
        <v>302</v>
      </c>
      <c r="J35" t="str">
        <f t="shared" si="1"/>
        <v>Performing Arts Professionals</v>
      </c>
      <c r="K35">
        <f t="shared" si="2"/>
        <v>3000</v>
      </c>
      <c r="M35">
        <f>VLOOKUP(A35,'Cross ref Tab'!A:E,3,FALSE)</f>
        <v>1600</v>
      </c>
      <c r="O35">
        <f>VLOOKUP(A35,Workings!A:D,3,FALSE)-H35</f>
        <v>500</v>
      </c>
      <c r="Q35">
        <f>SUMIF('Approved 15-16 budget'!B:B,A35,'Approved 15-16 budget'!E:E)</f>
        <v>0</v>
      </c>
      <c r="R35">
        <f>SUMIF('Approved 15-16 budget'!B:B,A35,'Approved 15-16 budget'!D:D)</f>
        <v>0</v>
      </c>
      <c r="S35">
        <f t="shared" si="3"/>
        <v>3000</v>
      </c>
    </row>
    <row r="36" spans="1:19" ht="12.75">
      <c r="A36" s="251">
        <v>303</v>
      </c>
      <c r="B36" s="251" t="s">
        <v>100</v>
      </c>
      <c r="C36" s="251">
        <v>1700</v>
      </c>
      <c r="D36">
        <v>4</v>
      </c>
      <c r="E36">
        <v>1500</v>
      </c>
      <c r="F36">
        <v>1500</v>
      </c>
      <c r="G36">
        <v>0</v>
      </c>
      <c r="H36">
        <v>1500</v>
      </c>
      <c r="I36">
        <f t="shared" si="0"/>
        <v>303</v>
      </c>
      <c r="J36" t="str">
        <f t="shared" si="1"/>
        <v>Drama</v>
      </c>
      <c r="K36">
        <f t="shared" si="2"/>
        <v>1700</v>
      </c>
      <c r="M36">
        <f>VLOOKUP(A36,'Cross ref Tab'!A:E,3,FALSE)</f>
        <v>1600</v>
      </c>
      <c r="O36">
        <f>VLOOKUP(A36,Workings!A:D,3,FALSE)-H36</f>
        <v>200</v>
      </c>
      <c r="Q36">
        <f>SUMIF('Approved 15-16 budget'!B:B,A36,'Approved 15-16 budget'!E:E)</f>
        <v>0</v>
      </c>
      <c r="R36">
        <f>SUMIF('Approved 15-16 budget'!B:B,A36,'Approved 15-16 budget'!D:D)</f>
        <v>0</v>
      </c>
      <c r="S36">
        <f t="shared" si="3"/>
        <v>1700</v>
      </c>
    </row>
    <row r="37" spans="1:19" ht="12.75">
      <c r="A37" s="251" t="s">
        <v>101</v>
      </c>
      <c r="B37" s="251" t="s">
        <v>102</v>
      </c>
      <c r="C37" s="251">
        <v>1865</v>
      </c>
      <c r="D37">
        <v>4</v>
      </c>
      <c r="E37">
        <v>11000</v>
      </c>
      <c r="F37">
        <v>11000</v>
      </c>
      <c r="G37">
        <v>0</v>
      </c>
      <c r="H37">
        <v>11000</v>
      </c>
      <c r="I37" t="str">
        <f t="shared" si="0"/>
        <v>303A</v>
      </c>
      <c r="J37" t="str">
        <f t="shared" si="1"/>
        <v>Drama Productions</v>
      </c>
      <c r="K37">
        <f t="shared" si="2"/>
        <v>1865</v>
      </c>
      <c r="M37">
        <f>VLOOKUP(A37,'Cross ref Tab'!A:E,3,FALSE)</f>
        <v>1600</v>
      </c>
      <c r="O37">
        <f>VLOOKUP(A37,Workings!A:D,3,FALSE)-H37</f>
        <v>-9135</v>
      </c>
      <c r="Q37">
        <f>SUMIF('Approved 15-16 budget'!B:B,A37,'Approved 15-16 budget'!E:E)</f>
        <v>0</v>
      </c>
      <c r="R37">
        <f>SUMIF('Approved 15-16 budget'!B:B,A37,'Approved 15-16 budget'!D:D)</f>
        <v>0</v>
      </c>
      <c r="S37">
        <f t="shared" si="3"/>
        <v>1865</v>
      </c>
    </row>
    <row r="38" spans="1:19" ht="12.75">
      <c r="A38" s="251">
        <v>304</v>
      </c>
      <c r="B38" s="251" t="s">
        <v>103</v>
      </c>
      <c r="C38" s="251">
        <v>1300</v>
      </c>
      <c r="D38">
        <v>4</v>
      </c>
      <c r="E38">
        <v>2500</v>
      </c>
      <c r="F38">
        <v>2500</v>
      </c>
      <c r="G38">
        <v>0</v>
      </c>
      <c r="H38">
        <v>2500</v>
      </c>
      <c r="I38">
        <f t="shared" si="0"/>
        <v>304</v>
      </c>
      <c r="J38" t="str">
        <f t="shared" si="1"/>
        <v>Music</v>
      </c>
      <c r="K38">
        <f t="shared" si="2"/>
        <v>1300</v>
      </c>
      <c r="M38">
        <f>VLOOKUP(A38,'Cross ref Tab'!A:E,3,FALSE)</f>
        <v>1600</v>
      </c>
      <c r="O38">
        <f>VLOOKUP(A38,Workings!A:D,3,FALSE)-H38</f>
        <v>-1200</v>
      </c>
      <c r="Q38">
        <f>SUMIF('Approved 15-16 budget'!B:B,A38,'Approved 15-16 budget'!E:E)</f>
        <v>0</v>
      </c>
      <c r="R38">
        <f>SUMIF('Approved 15-16 budget'!B:B,A38,'Approved 15-16 budget'!D:D)</f>
        <v>0</v>
      </c>
      <c r="S38">
        <f t="shared" si="3"/>
        <v>1300</v>
      </c>
    </row>
    <row r="39" spans="1:19" ht="12.75">
      <c r="A39" s="251" t="s">
        <v>104</v>
      </c>
      <c r="B39" s="251" t="s">
        <v>105</v>
      </c>
      <c r="C39" s="251">
        <v>175</v>
      </c>
      <c r="D39">
        <v>4</v>
      </c>
      <c r="E39">
        <v>2500</v>
      </c>
      <c r="F39">
        <v>2500</v>
      </c>
      <c r="G39">
        <v>0</v>
      </c>
      <c r="H39">
        <v>2500</v>
      </c>
      <c r="I39" t="str">
        <f t="shared" si="0"/>
        <v>304A</v>
      </c>
      <c r="J39" t="str">
        <f t="shared" si="1"/>
        <v>Music Productions</v>
      </c>
      <c r="K39">
        <f t="shared" si="2"/>
        <v>175</v>
      </c>
      <c r="M39">
        <f>VLOOKUP(A39,'Cross ref Tab'!A:E,3,FALSE)</f>
        <v>1600</v>
      </c>
      <c r="O39">
        <f>VLOOKUP(A39,Workings!A:D,3,FALSE)-H39</f>
        <v>675</v>
      </c>
      <c r="Q39">
        <f>SUMIF('Approved 15-16 budget'!B:B,A39,'Approved 15-16 budget'!E:E)</f>
        <v>0</v>
      </c>
      <c r="R39">
        <f>SUMIF('Approved 15-16 budget'!B:B,A39,'Approved 15-16 budget'!D:D)</f>
        <v>0</v>
      </c>
      <c r="S39">
        <f t="shared" si="3"/>
        <v>175</v>
      </c>
    </row>
    <row r="40" spans="1:19" ht="12.75">
      <c r="A40" s="251">
        <v>305</v>
      </c>
      <c r="B40" s="251" t="s">
        <v>627</v>
      </c>
      <c r="C40" s="251">
        <v>250</v>
      </c>
      <c r="D40">
        <v>4</v>
      </c>
      <c r="E40">
        <v>1900</v>
      </c>
      <c r="F40">
        <v>1900</v>
      </c>
      <c r="G40">
        <v>0</v>
      </c>
      <c r="H40">
        <v>1900</v>
      </c>
      <c r="I40">
        <f t="shared" si="0"/>
        <v>305</v>
      </c>
      <c r="J40" t="str">
        <f t="shared" si="1"/>
        <v>Creative Writing</v>
      </c>
      <c r="K40">
        <f t="shared" si="2"/>
        <v>250</v>
      </c>
      <c r="M40">
        <f>VLOOKUP(A40,'Cross ref Tab'!A:E,3,FALSE)</f>
        <v>1600</v>
      </c>
      <c r="O40">
        <f>VLOOKUP(A40,Workings!A:D,3,FALSE)-H40</f>
        <v>-1650</v>
      </c>
      <c r="Q40">
        <f>SUMIF('Approved 15-16 budget'!B:B,A40,'Approved 15-16 budget'!E:E)</f>
        <v>0</v>
      </c>
      <c r="R40">
        <f>SUMIF('Approved 15-16 budget'!B:B,A40,'Approved 15-16 budget'!D:D)</f>
        <v>0</v>
      </c>
      <c r="S40">
        <f t="shared" si="3"/>
        <v>250</v>
      </c>
    </row>
    <row r="41" spans="1:19" ht="12.75">
      <c r="A41" s="251">
        <v>306</v>
      </c>
      <c r="B41" s="251" t="s">
        <v>106</v>
      </c>
      <c r="C41" s="251">
        <v>5200</v>
      </c>
      <c r="D41">
        <v>4</v>
      </c>
      <c r="E41">
        <v>5300</v>
      </c>
      <c r="F41">
        <v>5300</v>
      </c>
      <c r="G41">
        <v>0</v>
      </c>
      <c r="H41">
        <v>5300</v>
      </c>
      <c r="I41">
        <f t="shared" si="0"/>
        <v>306</v>
      </c>
      <c r="J41" t="str">
        <f t="shared" si="1"/>
        <v>English</v>
      </c>
      <c r="K41">
        <f t="shared" si="2"/>
        <v>5200</v>
      </c>
      <c r="M41">
        <f>VLOOKUP(A41,'Cross ref Tab'!A:E,3,FALSE)</f>
        <v>1600</v>
      </c>
      <c r="O41">
        <f>VLOOKUP(A41,Workings!A:D,3,FALSE)-H41</f>
        <v>-100</v>
      </c>
      <c r="Q41">
        <f>SUMIF('Approved 15-16 budget'!B:B,A41,'Approved 15-16 budget'!E:E)</f>
        <v>0</v>
      </c>
      <c r="R41">
        <f>SUMIF('Approved 15-16 budget'!B:B,A41,'Approved 15-16 budget'!D:D)</f>
        <v>0</v>
      </c>
      <c r="S41">
        <f t="shared" si="3"/>
        <v>5200</v>
      </c>
    </row>
    <row r="42" spans="1:19" ht="12.75">
      <c r="A42" s="251">
        <v>307</v>
      </c>
      <c r="B42" s="251" t="s">
        <v>107</v>
      </c>
      <c r="C42" s="251">
        <v>2125</v>
      </c>
      <c r="D42">
        <v>4</v>
      </c>
      <c r="E42">
        <v>6000</v>
      </c>
      <c r="F42">
        <v>6000</v>
      </c>
      <c r="G42">
        <v>0</v>
      </c>
      <c r="H42">
        <v>6000</v>
      </c>
      <c r="I42">
        <f t="shared" si="0"/>
        <v>307</v>
      </c>
      <c r="J42" t="str">
        <f t="shared" si="1"/>
        <v>Modern Languages</v>
      </c>
      <c r="K42">
        <f t="shared" si="2"/>
        <v>2125</v>
      </c>
      <c r="M42">
        <f>VLOOKUP(A42,'Cross ref Tab'!A:E,3,FALSE)</f>
        <v>1600</v>
      </c>
      <c r="O42">
        <f>VLOOKUP(A42,Workings!A:D,3,FALSE)-H42</f>
        <v>-3875</v>
      </c>
      <c r="Q42">
        <f>SUMIF('Approved 15-16 budget'!B:B,A42,'Approved 15-16 budget'!E:E)</f>
        <v>0</v>
      </c>
      <c r="R42">
        <f>SUMIF('Approved 15-16 budget'!B:B,A42,'Approved 15-16 budget'!D:D)</f>
        <v>0</v>
      </c>
      <c r="S42">
        <f t="shared" si="3"/>
        <v>2125</v>
      </c>
    </row>
    <row r="43" spans="1:19" ht="12.75">
      <c r="A43" s="251">
        <v>308</v>
      </c>
      <c r="B43" s="251" t="s">
        <v>628</v>
      </c>
      <c r="C43" s="251">
        <v>1700</v>
      </c>
      <c r="D43">
        <v>4</v>
      </c>
      <c r="E43">
        <v>2000</v>
      </c>
      <c r="F43">
        <v>2000</v>
      </c>
      <c r="G43">
        <v>0</v>
      </c>
      <c r="H43">
        <v>2000</v>
      </c>
      <c r="I43">
        <f t="shared" si="0"/>
        <v>308</v>
      </c>
      <c r="J43" t="str">
        <f t="shared" si="1"/>
        <v>Geography</v>
      </c>
      <c r="K43">
        <f t="shared" si="2"/>
        <v>1700</v>
      </c>
      <c r="M43">
        <f>VLOOKUP(A43,'Cross ref Tab'!A:E,3,FALSE)</f>
        <v>1600</v>
      </c>
      <c r="O43">
        <f>VLOOKUP(A43,Workings!A:D,3,FALSE)-H43</f>
        <v>-300</v>
      </c>
      <c r="Q43">
        <f>SUMIF('Approved 15-16 budget'!B:B,A43,'Approved 15-16 budget'!E:E)</f>
        <v>0</v>
      </c>
      <c r="R43">
        <f>SUMIF('Approved 15-16 budget'!B:B,A43,'Approved 15-16 budget'!D:D)</f>
        <v>0</v>
      </c>
      <c r="S43">
        <f t="shared" si="3"/>
        <v>1700</v>
      </c>
    </row>
    <row r="44" spans="1:19" ht="12.75">
      <c r="A44" s="251">
        <v>309</v>
      </c>
      <c r="B44" s="251" t="s">
        <v>629</v>
      </c>
      <c r="C44" s="251">
        <v>1700</v>
      </c>
      <c r="D44">
        <v>4</v>
      </c>
      <c r="E44">
        <v>0</v>
      </c>
      <c r="F44">
        <v>1500</v>
      </c>
      <c r="G44">
        <v>0</v>
      </c>
      <c r="H44">
        <v>1500</v>
      </c>
      <c r="I44">
        <f t="shared" si="0"/>
        <v>309</v>
      </c>
      <c r="J44" t="str">
        <f t="shared" si="1"/>
        <v>History</v>
      </c>
      <c r="K44">
        <f t="shared" si="2"/>
        <v>1700</v>
      </c>
      <c r="M44">
        <f>VLOOKUP(A44,'Cross ref Tab'!A:E,3,FALSE)</f>
        <v>1600</v>
      </c>
      <c r="O44">
        <f>VLOOKUP(A44,Workings!A:D,3,FALSE)-H44</f>
        <v>200</v>
      </c>
      <c r="Q44">
        <f>SUMIF('Approved 15-16 budget'!B:B,A44,'Approved 15-16 budget'!E:E)</f>
        <v>0</v>
      </c>
      <c r="R44">
        <f>SUMIF('Approved 15-16 budget'!B:B,A44,'Approved 15-16 budget'!D:D)</f>
        <v>0</v>
      </c>
      <c r="S44">
        <f t="shared" si="3"/>
        <v>1700</v>
      </c>
    </row>
    <row r="45" spans="1:19" ht="12.75">
      <c r="A45" s="251">
        <v>312</v>
      </c>
      <c r="B45" s="251" t="s">
        <v>561</v>
      </c>
      <c r="C45" s="251">
        <v>1275</v>
      </c>
      <c r="D45">
        <v>4</v>
      </c>
      <c r="E45">
        <v>0</v>
      </c>
      <c r="F45">
        <v>500</v>
      </c>
      <c r="G45">
        <v>0</v>
      </c>
      <c r="H45">
        <v>500</v>
      </c>
      <c r="I45">
        <f t="shared" si="0"/>
        <v>312</v>
      </c>
      <c r="J45" t="str">
        <f t="shared" si="1"/>
        <v>Social Sciences</v>
      </c>
      <c r="K45">
        <f t="shared" si="2"/>
        <v>1275</v>
      </c>
      <c r="M45">
        <f>VLOOKUP(A45,'Cross ref Tab'!A:E,3,FALSE)</f>
        <v>1600</v>
      </c>
      <c r="O45">
        <f>VLOOKUP(A45,Workings!A:D,3,FALSE)-H45</f>
        <v>775</v>
      </c>
      <c r="Q45">
        <f>SUMIF('Approved 15-16 budget'!B:B,A45,'Approved 15-16 budget'!E:E)</f>
        <v>0</v>
      </c>
      <c r="R45">
        <f>SUMIF('Approved 15-16 budget'!B:B,A45,'Approved 15-16 budget'!D:D)</f>
        <v>0</v>
      </c>
      <c r="S45">
        <f t="shared" si="3"/>
        <v>1275</v>
      </c>
    </row>
    <row r="46" spans="1:19" ht="12.75">
      <c r="A46" s="251">
        <v>313</v>
      </c>
      <c r="B46" s="251" t="s">
        <v>112</v>
      </c>
      <c r="C46" s="251">
        <v>9400</v>
      </c>
      <c r="D46">
        <v>4</v>
      </c>
      <c r="E46">
        <v>675</v>
      </c>
      <c r="F46">
        <v>675</v>
      </c>
      <c r="G46">
        <v>0</v>
      </c>
      <c r="H46">
        <v>675</v>
      </c>
      <c r="I46">
        <f t="shared" si="0"/>
        <v>313</v>
      </c>
      <c r="J46" t="str">
        <f t="shared" si="1"/>
        <v>Science</v>
      </c>
      <c r="K46">
        <f t="shared" si="2"/>
        <v>9400</v>
      </c>
      <c r="M46">
        <f>VLOOKUP(A46,'Cross ref Tab'!A:E,3,FALSE)</f>
        <v>1600</v>
      </c>
      <c r="O46">
        <f>VLOOKUP(A46,Workings!A:D,3,FALSE)-H46</f>
        <v>8725</v>
      </c>
      <c r="Q46">
        <f>SUMIF('Approved 15-16 budget'!B:B,A46,'Approved 15-16 budget'!E:E)</f>
        <v>0</v>
      </c>
      <c r="R46">
        <f>SUMIF('Approved 15-16 budget'!B:B,A46,'Approved 15-16 budget'!D:D)</f>
        <v>0</v>
      </c>
      <c r="S46">
        <f t="shared" si="3"/>
        <v>9400</v>
      </c>
    </row>
    <row r="47" spans="1:19" ht="12.75">
      <c r="A47" s="251">
        <v>314</v>
      </c>
      <c r="B47" s="251" t="s">
        <v>630</v>
      </c>
      <c r="C47" s="251">
        <v>1800</v>
      </c>
      <c r="D47">
        <v>4</v>
      </c>
      <c r="E47">
        <v>500</v>
      </c>
      <c r="F47">
        <v>500</v>
      </c>
      <c r="G47">
        <v>0</v>
      </c>
      <c r="H47">
        <v>500</v>
      </c>
      <c r="I47">
        <f t="shared" si="0"/>
        <v>314</v>
      </c>
      <c r="J47" t="str">
        <f t="shared" si="1"/>
        <v>Business Studies</v>
      </c>
      <c r="K47">
        <f t="shared" si="2"/>
        <v>1800</v>
      </c>
      <c r="M47">
        <f>VLOOKUP(A47,'Cross ref Tab'!A:E,3,FALSE)</f>
        <v>1600</v>
      </c>
      <c r="O47">
        <f>VLOOKUP(A47,Workings!A:D,3,FALSE)-H47</f>
        <v>1300</v>
      </c>
      <c r="Q47">
        <f>SUMIF('Approved 15-16 budget'!B:B,A47,'Approved 15-16 budget'!E:E)</f>
        <v>0</v>
      </c>
      <c r="R47">
        <f>SUMIF('Approved 15-16 budget'!B:B,A47,'Approved 15-16 budget'!D:D)</f>
        <v>0</v>
      </c>
      <c r="S47">
        <f t="shared" si="3"/>
        <v>1800</v>
      </c>
    </row>
    <row r="48" spans="1:19" ht="12.75">
      <c r="A48" s="251">
        <v>316</v>
      </c>
      <c r="B48" s="251" t="s">
        <v>631</v>
      </c>
      <c r="C48" s="251">
        <v>2200</v>
      </c>
      <c r="D48">
        <v>4</v>
      </c>
      <c r="E48">
        <v>1000</v>
      </c>
      <c r="F48">
        <v>1000</v>
      </c>
      <c r="G48">
        <v>0</v>
      </c>
      <c r="H48">
        <v>1000</v>
      </c>
      <c r="I48">
        <f t="shared" si="0"/>
        <v>316</v>
      </c>
      <c r="J48" t="str">
        <f t="shared" si="1"/>
        <v>Design &amp; Technology</v>
      </c>
      <c r="K48">
        <f t="shared" si="2"/>
        <v>2200</v>
      </c>
      <c r="M48">
        <f>VLOOKUP(A48,'Cross ref Tab'!A:E,3,FALSE)</f>
        <v>1600</v>
      </c>
      <c r="O48">
        <f>VLOOKUP(A48,Workings!A:D,3,FALSE)-H48</f>
        <v>1200</v>
      </c>
      <c r="Q48">
        <f>SUMIF('Approved 15-16 budget'!B:B,A48,'Approved 15-16 budget'!E:E)</f>
        <v>0</v>
      </c>
      <c r="R48">
        <f>SUMIF('Approved 15-16 budget'!B:B,A48,'Approved 15-16 budget'!D:D)</f>
        <v>0</v>
      </c>
      <c r="S48">
        <f t="shared" si="3"/>
        <v>2200</v>
      </c>
    </row>
    <row r="49" spans="1:19" ht="12.75">
      <c r="A49" s="251">
        <v>317</v>
      </c>
      <c r="B49" s="251" t="s">
        <v>118</v>
      </c>
      <c r="C49" s="251">
        <v>1000</v>
      </c>
      <c r="D49">
        <v>4</v>
      </c>
      <c r="E49">
        <v>18000</v>
      </c>
      <c r="F49">
        <v>18000</v>
      </c>
      <c r="G49">
        <v>0</v>
      </c>
      <c r="H49">
        <v>18000</v>
      </c>
      <c r="I49">
        <f t="shared" si="0"/>
        <v>317</v>
      </c>
      <c r="J49" t="str">
        <f t="shared" si="1"/>
        <v>Information Technology</v>
      </c>
      <c r="K49">
        <f t="shared" si="2"/>
        <v>1000</v>
      </c>
      <c r="M49">
        <f>VLOOKUP(A49,'Cross ref Tab'!A:E,3,FALSE)</f>
        <v>1600</v>
      </c>
      <c r="O49">
        <f>VLOOKUP(A49,Workings!A:D,3,FALSE)-H49</f>
        <v>-17000</v>
      </c>
      <c r="Q49">
        <f>SUMIF('Approved 15-16 budget'!B:B,A49,'Approved 15-16 budget'!E:E)</f>
        <v>0</v>
      </c>
      <c r="R49">
        <f>SUMIF('Approved 15-16 budget'!B:B,A49,'Approved 15-16 budget'!D:D)</f>
        <v>0</v>
      </c>
      <c r="S49">
        <f t="shared" si="3"/>
        <v>1000</v>
      </c>
    </row>
    <row r="50" spans="1:19" ht="12.75">
      <c r="A50" s="251">
        <v>318</v>
      </c>
      <c r="B50" s="251" t="s">
        <v>697</v>
      </c>
      <c r="C50" s="251">
        <v>448</v>
      </c>
      <c r="D50">
        <v>4</v>
      </c>
      <c r="E50">
        <v>750</v>
      </c>
      <c r="F50">
        <v>750</v>
      </c>
      <c r="G50">
        <v>0</v>
      </c>
      <c r="H50">
        <v>750</v>
      </c>
      <c r="I50">
        <f t="shared" si="0"/>
        <v>318</v>
      </c>
      <c r="J50" t="str">
        <f t="shared" si="1"/>
        <v>DT &amp; Voc Productions</v>
      </c>
      <c r="K50">
        <f t="shared" si="2"/>
        <v>448</v>
      </c>
      <c r="M50">
        <f>VLOOKUP(A50,'Cross ref Tab'!A:E,3,FALSE)</f>
        <v>1600</v>
      </c>
      <c r="O50">
        <f>VLOOKUP(A50,Workings!A:D,3,FALSE)-H50</f>
        <v>-302</v>
      </c>
      <c r="Q50">
        <f>SUMIF('Approved 15-16 budget'!B:B,A50,'Approved 15-16 budget'!E:E)</f>
        <v>0</v>
      </c>
      <c r="R50">
        <f>SUMIF('Approved 15-16 budget'!B:B,A50,'Approved 15-16 budget'!D:D)</f>
        <v>0</v>
      </c>
      <c r="S50">
        <f t="shared" si="3"/>
        <v>448</v>
      </c>
    </row>
    <row r="51" spans="1:19" ht="12.75">
      <c r="A51" s="251">
        <v>319</v>
      </c>
      <c r="B51" s="251" t="s">
        <v>120</v>
      </c>
      <c r="C51" s="251">
        <v>4900</v>
      </c>
      <c r="D51">
        <v>4</v>
      </c>
      <c r="E51">
        <v>0</v>
      </c>
      <c r="F51">
        <v>1500</v>
      </c>
      <c r="G51">
        <v>0</v>
      </c>
      <c r="H51">
        <v>1500</v>
      </c>
      <c r="I51">
        <f t="shared" si="0"/>
        <v>319</v>
      </c>
      <c r="J51" t="str">
        <f t="shared" si="1"/>
        <v>Mathematics</v>
      </c>
      <c r="K51">
        <f t="shared" si="2"/>
        <v>4900</v>
      </c>
      <c r="M51">
        <f>VLOOKUP(A51,'Cross ref Tab'!A:E,3,FALSE)</f>
        <v>1600</v>
      </c>
      <c r="O51">
        <f>VLOOKUP(A51,Workings!A:D,3,FALSE)-H51</f>
        <v>3400</v>
      </c>
      <c r="Q51">
        <f>SUMIF('Approved 15-16 budget'!B:B,A51,'Approved 15-16 budget'!E:E)</f>
        <v>0</v>
      </c>
      <c r="R51">
        <f>SUMIF('Approved 15-16 budget'!B:B,A51,'Approved 15-16 budget'!D:D)</f>
        <v>0</v>
      </c>
      <c r="S51">
        <f t="shared" si="3"/>
        <v>4900</v>
      </c>
    </row>
    <row r="52" spans="1:19" ht="12.75">
      <c r="A52" s="251">
        <v>320</v>
      </c>
      <c r="B52" s="251" t="s">
        <v>121</v>
      </c>
      <c r="C52" s="251">
        <v>5598</v>
      </c>
      <c r="D52">
        <v>4</v>
      </c>
      <c r="E52">
        <v>750</v>
      </c>
      <c r="F52">
        <v>967</v>
      </c>
      <c r="G52">
        <v>0</v>
      </c>
      <c r="H52">
        <v>967</v>
      </c>
      <c r="I52">
        <f t="shared" si="0"/>
        <v>320</v>
      </c>
      <c r="J52" t="str">
        <f t="shared" si="1"/>
        <v>Physical Education</v>
      </c>
      <c r="K52">
        <f t="shared" si="2"/>
        <v>5598</v>
      </c>
      <c r="M52">
        <f>VLOOKUP(A52,'Cross ref Tab'!A:E,3,FALSE)</f>
        <v>1600</v>
      </c>
      <c r="O52">
        <f>VLOOKUP(A52,Workings!A:D,3,FALSE)-H52</f>
        <v>4631</v>
      </c>
      <c r="Q52">
        <f>SUMIF('Approved 15-16 budget'!B:B,A52,'Approved 15-16 budget'!E:E)</f>
        <v>0</v>
      </c>
      <c r="R52">
        <f>SUMIF('Approved 15-16 budget'!B:B,A52,'Approved 15-16 budget'!D:D)</f>
        <v>0</v>
      </c>
      <c r="S52">
        <f t="shared" si="3"/>
        <v>5598</v>
      </c>
    </row>
    <row r="53" spans="1:19" ht="12.75">
      <c r="A53" s="251">
        <v>322</v>
      </c>
      <c r="B53" s="251" t="s">
        <v>632</v>
      </c>
      <c r="C53" s="251">
        <v>1700</v>
      </c>
      <c r="D53">
        <v>4</v>
      </c>
      <c r="E53">
        <v>750</v>
      </c>
      <c r="F53">
        <v>1285</v>
      </c>
      <c r="G53">
        <v>0</v>
      </c>
      <c r="H53">
        <v>1285</v>
      </c>
      <c r="I53">
        <f t="shared" si="0"/>
        <v>322</v>
      </c>
      <c r="J53" t="str">
        <f t="shared" si="1"/>
        <v>Citizenship</v>
      </c>
      <c r="K53">
        <f t="shared" si="2"/>
        <v>1700</v>
      </c>
      <c r="M53">
        <f>VLOOKUP(A53,'Cross ref Tab'!A:E,3,FALSE)</f>
        <v>1600</v>
      </c>
      <c r="O53">
        <f>VLOOKUP(A53,Workings!A:D,3,FALSE)-H53</f>
        <v>415</v>
      </c>
      <c r="Q53">
        <f>SUMIF('Approved 15-16 budget'!B:B,A53,'Approved 15-16 budget'!E:E)</f>
        <v>0</v>
      </c>
      <c r="R53">
        <f>SUMIF('Approved 15-16 budget'!B:B,A53,'Approved 15-16 budget'!D:D)</f>
        <v>0</v>
      </c>
      <c r="S53">
        <f t="shared" si="3"/>
        <v>1700</v>
      </c>
    </row>
    <row r="54" spans="1:19" ht="12.75">
      <c r="A54" s="251">
        <v>323</v>
      </c>
      <c r="B54" s="251" t="s">
        <v>633</v>
      </c>
      <c r="C54" s="251">
        <v>500</v>
      </c>
      <c r="D54">
        <v>4</v>
      </c>
      <c r="E54">
        <v>700</v>
      </c>
      <c r="F54">
        <v>700</v>
      </c>
      <c r="G54">
        <v>0</v>
      </c>
      <c r="H54">
        <v>700</v>
      </c>
      <c r="I54">
        <f t="shared" si="0"/>
        <v>323</v>
      </c>
      <c r="J54" t="str">
        <f t="shared" si="1"/>
        <v>Literacy - Whole School</v>
      </c>
      <c r="K54">
        <f t="shared" si="2"/>
        <v>500</v>
      </c>
      <c r="M54">
        <f>VLOOKUP(A54,'Cross ref Tab'!A:E,3,FALSE)</f>
        <v>1600</v>
      </c>
      <c r="O54">
        <f>VLOOKUP(A54,Workings!A:D,3,FALSE)-H54</f>
        <v>-200</v>
      </c>
      <c r="Q54">
        <f>SUMIF('Approved 15-16 budget'!B:B,A54,'Approved 15-16 budget'!E:E)</f>
        <v>0</v>
      </c>
      <c r="R54">
        <f>SUMIF('Approved 15-16 budget'!B:B,A54,'Approved 15-16 budget'!D:D)</f>
        <v>0</v>
      </c>
      <c r="S54">
        <f t="shared" si="3"/>
        <v>500</v>
      </c>
    </row>
    <row r="55" spans="1:19" ht="12.75">
      <c r="A55" s="251">
        <v>324</v>
      </c>
      <c r="B55" s="251" t="s">
        <v>634</v>
      </c>
      <c r="C55" s="251">
        <v>250</v>
      </c>
      <c r="D55">
        <v>4</v>
      </c>
      <c r="E55">
        <v>5000</v>
      </c>
      <c r="F55">
        <v>5000</v>
      </c>
      <c r="G55">
        <v>0</v>
      </c>
      <c r="H55">
        <v>5000</v>
      </c>
      <c r="I55">
        <f t="shared" si="0"/>
        <v>324</v>
      </c>
      <c r="J55" t="str">
        <f t="shared" si="1"/>
        <v>Numeracy - Whole School</v>
      </c>
      <c r="K55">
        <f t="shared" si="2"/>
        <v>250</v>
      </c>
      <c r="M55">
        <f>VLOOKUP(A55,'Cross ref Tab'!A:E,3,FALSE)</f>
        <v>1600</v>
      </c>
      <c r="O55">
        <f>VLOOKUP(A55,Workings!A:D,3,FALSE)-H55</f>
        <v>-4750</v>
      </c>
      <c r="Q55">
        <f>SUMIF('Approved 15-16 budget'!B:B,A55,'Approved 15-16 budget'!E:E)</f>
        <v>0</v>
      </c>
      <c r="R55">
        <f>SUMIF('Approved 15-16 budget'!B:B,A55,'Approved 15-16 budget'!D:D)</f>
        <v>0</v>
      </c>
      <c r="S55">
        <f t="shared" si="3"/>
        <v>250</v>
      </c>
    </row>
    <row r="56" spans="1:19" ht="12.75">
      <c r="A56" s="251">
        <v>325</v>
      </c>
      <c r="B56" s="251" t="s">
        <v>124</v>
      </c>
      <c r="C56" s="251">
        <v>500</v>
      </c>
      <c r="D56">
        <v>4</v>
      </c>
      <c r="E56">
        <v>3000</v>
      </c>
      <c r="F56">
        <v>3000</v>
      </c>
      <c r="G56">
        <v>0</v>
      </c>
      <c r="H56">
        <v>3000</v>
      </c>
      <c r="I56">
        <f t="shared" si="0"/>
        <v>325</v>
      </c>
      <c r="J56" t="str">
        <f t="shared" si="1"/>
        <v>PASS</v>
      </c>
      <c r="K56">
        <f t="shared" si="2"/>
        <v>500</v>
      </c>
      <c r="M56">
        <f>VLOOKUP(A56,'Cross ref Tab'!A:E,3,FALSE)</f>
        <v>1600</v>
      </c>
      <c r="O56">
        <f>VLOOKUP(A56,Workings!A:D,3,FALSE)-H56</f>
        <v>-2500</v>
      </c>
      <c r="Q56">
        <f>SUMIF('Approved 15-16 budget'!B:B,A56,'Approved 15-16 budget'!E:E)</f>
        <v>0</v>
      </c>
      <c r="R56">
        <f>SUMIF('Approved 15-16 budget'!B:B,A56,'Approved 15-16 budget'!D:D)</f>
        <v>0</v>
      </c>
      <c r="S56">
        <f t="shared" si="3"/>
        <v>500</v>
      </c>
    </row>
    <row r="57" spans="1:19" ht="12.75">
      <c r="A57" s="251">
        <v>326</v>
      </c>
      <c r="B57" s="251" t="s">
        <v>635</v>
      </c>
      <c r="C57" s="251">
        <v>900</v>
      </c>
      <c r="D57">
        <v>4</v>
      </c>
      <c r="E57">
        <v>800</v>
      </c>
      <c r="F57">
        <v>0</v>
      </c>
      <c r="G57">
        <v>0</v>
      </c>
      <c r="H57">
        <v>0</v>
      </c>
      <c r="I57">
        <f t="shared" si="0"/>
        <v>326</v>
      </c>
      <c r="J57" t="str">
        <f t="shared" si="1"/>
        <v>Learning Trollies</v>
      </c>
      <c r="K57">
        <f t="shared" si="2"/>
        <v>900</v>
      </c>
      <c r="M57">
        <f>VLOOKUP(A57,'Cross ref Tab'!A:E,3,FALSE)</f>
        <v>1600</v>
      </c>
      <c r="O57">
        <f>VLOOKUP(A57,Workings!A:D,3,FALSE)-H57</f>
        <v>900</v>
      </c>
      <c r="Q57">
        <f>SUMIF('Approved 15-16 budget'!B:B,A57,'Approved 15-16 budget'!E:E)</f>
        <v>0</v>
      </c>
      <c r="R57">
        <f>SUMIF('Approved 15-16 budget'!B:B,A57,'Approved 15-16 budget'!D:D)</f>
        <v>0</v>
      </c>
      <c r="S57">
        <f t="shared" si="3"/>
        <v>900</v>
      </c>
    </row>
    <row r="58" spans="1:19" ht="12.75">
      <c r="A58" s="251">
        <v>330</v>
      </c>
      <c r="B58" s="251" t="s">
        <v>126</v>
      </c>
      <c r="C58" s="251">
        <v>500</v>
      </c>
      <c r="D58">
        <v>4</v>
      </c>
      <c r="E58">
        <v>0</v>
      </c>
      <c r="F58">
        <v>250</v>
      </c>
      <c r="G58">
        <v>0</v>
      </c>
      <c r="H58">
        <v>250</v>
      </c>
      <c r="I58">
        <f t="shared" si="0"/>
        <v>330</v>
      </c>
      <c r="J58" t="str">
        <f t="shared" si="1"/>
        <v>Fixtures Expenses</v>
      </c>
      <c r="K58">
        <f t="shared" si="2"/>
        <v>500</v>
      </c>
      <c r="M58">
        <f>VLOOKUP(A58,'Cross ref Tab'!A:E,3,FALSE)</f>
        <v>1680</v>
      </c>
      <c r="O58">
        <f>VLOOKUP(A58,Workings!A:D,3,FALSE)-H58</f>
        <v>250</v>
      </c>
      <c r="Q58">
        <f>SUMIF('Approved 15-16 budget'!B:B,A58,'Approved 15-16 budget'!E:E)</f>
        <v>0</v>
      </c>
      <c r="R58">
        <f>SUMIF('Approved 15-16 budget'!B:B,A58,'Approved 15-16 budget'!D:D)</f>
        <v>0</v>
      </c>
      <c r="S58">
        <f t="shared" si="3"/>
        <v>500</v>
      </c>
    </row>
    <row r="59" spans="1:19" ht="12.75">
      <c r="A59" s="251">
        <v>331</v>
      </c>
      <c r="B59" s="251" t="s">
        <v>636</v>
      </c>
      <c r="C59" s="251">
        <v>850</v>
      </c>
      <c r="D59">
        <v>4</v>
      </c>
      <c r="E59">
        <v>0</v>
      </c>
      <c r="F59">
        <v>800</v>
      </c>
      <c r="G59">
        <v>0</v>
      </c>
      <c r="H59">
        <v>800</v>
      </c>
      <c r="I59">
        <f t="shared" si="0"/>
        <v>331</v>
      </c>
      <c r="J59" t="str">
        <f t="shared" si="1"/>
        <v>STEM</v>
      </c>
      <c r="K59">
        <f t="shared" si="2"/>
        <v>850</v>
      </c>
      <c r="M59">
        <f>VLOOKUP(A59,'Cross ref Tab'!A:E,3,FALSE)</f>
        <v>1600</v>
      </c>
      <c r="O59">
        <f>VLOOKUP(A59,Workings!A:D,3,FALSE)-H59</f>
        <v>50</v>
      </c>
      <c r="Q59">
        <f>SUMIF('Approved 15-16 budget'!B:B,A59,'Approved 15-16 budget'!E:E)</f>
        <v>0</v>
      </c>
      <c r="R59">
        <f>SUMIF('Approved 15-16 budget'!B:B,A59,'Approved 15-16 budget'!D:D)</f>
        <v>0</v>
      </c>
      <c r="S59">
        <f t="shared" si="3"/>
        <v>850</v>
      </c>
    </row>
    <row r="60" spans="1:19" ht="12.75">
      <c r="A60" s="251">
        <v>332</v>
      </c>
      <c r="B60" s="251" t="s">
        <v>128</v>
      </c>
      <c r="C60" s="251">
        <v>14000</v>
      </c>
      <c r="D60">
        <v>4</v>
      </c>
      <c r="E60">
        <v>11000</v>
      </c>
      <c r="F60">
        <v>11000</v>
      </c>
      <c r="G60">
        <v>0</v>
      </c>
      <c r="H60">
        <v>11000</v>
      </c>
      <c r="I60">
        <f t="shared" si="0"/>
        <v>332</v>
      </c>
      <c r="J60" t="str">
        <f t="shared" si="1"/>
        <v>Training for Staff</v>
      </c>
      <c r="K60">
        <f t="shared" si="2"/>
        <v>14000</v>
      </c>
      <c r="M60">
        <f>VLOOKUP(A60,'Cross ref Tab'!A:E,3,FALSE)</f>
        <v>2100</v>
      </c>
      <c r="O60">
        <f>VLOOKUP(A60,Workings!A:D,3,FALSE)-H60</f>
        <v>3000</v>
      </c>
      <c r="Q60">
        <f>SUMIF('Approved 15-16 budget'!B:B,A60,'Approved 15-16 budget'!E:E)</f>
        <v>0</v>
      </c>
      <c r="R60">
        <f>SUMIF('Approved 15-16 budget'!B:B,A60,'Approved 15-16 budget'!D:D)</f>
        <v>0</v>
      </c>
      <c r="S60">
        <f t="shared" si="3"/>
        <v>14000</v>
      </c>
    </row>
    <row r="61" spans="1:19" ht="12.75">
      <c r="A61" s="251">
        <v>333</v>
      </c>
      <c r="B61" s="251" t="s">
        <v>131</v>
      </c>
      <c r="C61" s="251">
        <v>700</v>
      </c>
      <c r="D61">
        <v>4</v>
      </c>
      <c r="E61">
        <v>75</v>
      </c>
      <c r="F61">
        <v>75</v>
      </c>
      <c r="G61">
        <v>0</v>
      </c>
      <c r="H61">
        <v>75</v>
      </c>
      <c r="I61">
        <f t="shared" si="0"/>
        <v>333</v>
      </c>
      <c r="J61" t="str">
        <f t="shared" si="1"/>
        <v>Media Studies</v>
      </c>
      <c r="K61">
        <f t="shared" si="2"/>
        <v>700</v>
      </c>
      <c r="M61">
        <f>VLOOKUP(A61,'Cross ref Tab'!A:E,3,FALSE)</f>
        <v>1600</v>
      </c>
      <c r="O61">
        <f>VLOOKUP(A61,Workings!A:D,3,FALSE)-H61</f>
        <v>625</v>
      </c>
      <c r="Q61">
        <f>SUMIF('Approved 15-16 budget'!B:B,A61,'Approved 15-16 budget'!E:E)</f>
        <v>0</v>
      </c>
      <c r="R61">
        <f>SUMIF('Approved 15-16 budget'!B:B,A61,'Approved 15-16 budget'!D:D)</f>
        <v>0</v>
      </c>
      <c r="S61">
        <f t="shared" si="3"/>
        <v>700</v>
      </c>
    </row>
    <row r="62" spans="1:19" ht="12.75">
      <c r="A62" s="251">
        <v>335</v>
      </c>
      <c r="B62" s="251" t="s">
        <v>637</v>
      </c>
      <c r="C62" s="251">
        <v>1200</v>
      </c>
      <c r="D62">
        <v>4</v>
      </c>
      <c r="E62">
        <v>100</v>
      </c>
      <c r="F62">
        <v>100</v>
      </c>
      <c r="G62">
        <v>0</v>
      </c>
      <c r="H62">
        <v>100</v>
      </c>
      <c r="I62">
        <f t="shared" si="0"/>
        <v>335</v>
      </c>
      <c r="J62" t="str">
        <f t="shared" si="1"/>
        <v>Engineering</v>
      </c>
      <c r="K62">
        <f t="shared" si="2"/>
        <v>1200</v>
      </c>
      <c r="M62">
        <f>VLOOKUP(A62,'Cross ref Tab'!A:E,3,FALSE)</f>
        <v>1600</v>
      </c>
      <c r="O62">
        <f>VLOOKUP(A62,Workings!A:D,3,FALSE)-H62</f>
        <v>1100</v>
      </c>
      <c r="Q62">
        <f>SUMIF('Approved 15-16 budget'!B:B,A62,'Approved 15-16 budget'!E:E)</f>
        <v>0</v>
      </c>
      <c r="R62">
        <f>SUMIF('Approved 15-16 budget'!B:B,A62,'Approved 15-16 budget'!D:D)</f>
        <v>0</v>
      </c>
      <c r="S62">
        <f t="shared" si="3"/>
        <v>1200</v>
      </c>
    </row>
    <row r="63" spans="1:19" ht="12.75">
      <c r="A63" s="251">
        <v>336</v>
      </c>
      <c r="B63" s="251" t="s">
        <v>562</v>
      </c>
      <c r="C63" s="251">
        <v>650</v>
      </c>
      <c r="D63">
        <v>4</v>
      </c>
      <c r="E63">
        <v>16255</v>
      </c>
      <c r="F63">
        <v>16255</v>
      </c>
      <c r="G63">
        <v>0</v>
      </c>
      <c r="H63">
        <v>16255</v>
      </c>
      <c r="I63">
        <f t="shared" si="0"/>
        <v>336</v>
      </c>
      <c r="J63" t="str">
        <f t="shared" si="1"/>
        <v>Vocational Animals</v>
      </c>
      <c r="K63">
        <f t="shared" si="2"/>
        <v>650</v>
      </c>
      <c r="M63">
        <f>VLOOKUP(A63,'Cross ref Tab'!A:E,3,FALSE)</f>
        <v>1600</v>
      </c>
      <c r="O63">
        <f>VLOOKUP(A63,Workings!A:D,3,FALSE)-H63</f>
        <v>-15605</v>
      </c>
      <c r="Q63">
        <f>SUMIF('Approved 15-16 budget'!B:B,A63,'Approved 15-16 budget'!E:E)</f>
        <v>0</v>
      </c>
      <c r="R63">
        <f>SUMIF('Approved 15-16 budget'!B:B,A63,'Approved 15-16 budget'!D:D)</f>
        <v>0</v>
      </c>
      <c r="S63">
        <f t="shared" si="3"/>
        <v>650</v>
      </c>
    </row>
    <row r="64" spans="1:19" ht="12.75">
      <c r="A64" s="251">
        <v>337</v>
      </c>
      <c r="B64" s="251" t="s">
        <v>133</v>
      </c>
      <c r="C64" s="251">
        <v>1233</v>
      </c>
      <c r="D64">
        <v>4</v>
      </c>
      <c r="E64">
        <v>20000</v>
      </c>
      <c r="F64">
        <v>24338</v>
      </c>
      <c r="G64">
        <v>0</v>
      </c>
      <c r="H64">
        <v>24338</v>
      </c>
      <c r="I64">
        <f t="shared" si="0"/>
        <v>337</v>
      </c>
      <c r="J64" t="str">
        <f t="shared" si="1"/>
        <v>KS3 Pre-Vocational</v>
      </c>
      <c r="K64">
        <f t="shared" si="2"/>
        <v>1233</v>
      </c>
      <c r="M64">
        <f>VLOOKUP(A64,'Cross ref Tab'!A:E,3,FALSE)</f>
        <v>1600</v>
      </c>
      <c r="O64">
        <f>VLOOKUP(A64,Workings!A:D,3,FALSE)-H64</f>
        <v>-23105</v>
      </c>
      <c r="Q64">
        <f>SUMIF('Approved 15-16 budget'!B:B,A64,'Approved 15-16 budget'!E:E)</f>
        <v>0</v>
      </c>
      <c r="R64">
        <f>SUMIF('Approved 15-16 budget'!B:B,A64,'Approved 15-16 budget'!D:D)</f>
        <v>0</v>
      </c>
      <c r="S64">
        <f t="shared" si="3"/>
        <v>1233</v>
      </c>
    </row>
    <row r="65" spans="1:19" ht="12.75">
      <c r="A65" s="251">
        <v>338</v>
      </c>
      <c r="B65" s="251" t="s">
        <v>134</v>
      </c>
      <c r="C65" s="251">
        <v>2000</v>
      </c>
      <c r="D65">
        <v>4</v>
      </c>
      <c r="E65">
        <v>0</v>
      </c>
      <c r="F65">
        <v>1500</v>
      </c>
      <c r="G65">
        <v>0</v>
      </c>
      <c r="H65">
        <v>1500</v>
      </c>
      <c r="I65">
        <f t="shared" si="0"/>
        <v>338</v>
      </c>
      <c r="J65" t="str">
        <f t="shared" si="1"/>
        <v>Tutorial</v>
      </c>
      <c r="K65">
        <f t="shared" si="2"/>
        <v>2000</v>
      </c>
      <c r="M65">
        <f>VLOOKUP(A65,'Cross ref Tab'!A:E,3,FALSE)</f>
        <v>1600</v>
      </c>
      <c r="O65">
        <f>VLOOKUP(A65,Workings!A:D,3,FALSE)-H65</f>
        <v>500</v>
      </c>
      <c r="Q65">
        <f>SUMIF('Approved 15-16 budget'!B:B,A65,'Approved 15-16 budget'!E:E)</f>
        <v>0</v>
      </c>
      <c r="R65">
        <f>SUMIF('Approved 15-16 budget'!B:B,A65,'Approved 15-16 budget'!D:D)</f>
        <v>0</v>
      </c>
      <c r="S65">
        <f t="shared" si="3"/>
        <v>2000</v>
      </c>
    </row>
    <row r="66" spans="1:19" ht="12.75">
      <c r="A66" s="251">
        <v>340</v>
      </c>
      <c r="B66" s="251" t="s">
        <v>638</v>
      </c>
      <c r="C66" s="251">
        <v>4194</v>
      </c>
      <c r="D66">
        <v>4</v>
      </c>
      <c r="E66">
        <v>145495</v>
      </c>
      <c r="F66">
        <v>145699</v>
      </c>
      <c r="G66">
        <v>0</v>
      </c>
      <c r="H66">
        <v>145699</v>
      </c>
      <c r="I66">
        <f t="shared" si="0"/>
        <v>340</v>
      </c>
      <c r="J66" t="str">
        <f t="shared" si="1"/>
        <v>Pastoral/JCookson</v>
      </c>
      <c r="K66">
        <f t="shared" si="2"/>
        <v>4194</v>
      </c>
      <c r="M66">
        <f>VLOOKUP(A66,'Cross ref Tab'!A:E,3,FALSE)</f>
        <v>1630</v>
      </c>
      <c r="O66">
        <f>VLOOKUP(A66,Workings!A:D,3,FALSE)-H66</f>
        <v>-141505</v>
      </c>
      <c r="Q66">
        <f>SUMIF('Approved 15-16 budget'!B:B,A66,'Approved 15-16 budget'!E:E)</f>
        <v>0</v>
      </c>
      <c r="R66">
        <f>SUMIF('Approved 15-16 budget'!B:B,A66,'Approved 15-16 budget'!D:D)</f>
        <v>0</v>
      </c>
      <c r="S66">
        <f t="shared" si="3"/>
        <v>4194</v>
      </c>
    </row>
    <row r="67" spans="1:19" ht="12.75">
      <c r="A67" s="251">
        <v>341</v>
      </c>
      <c r="B67" s="251" t="s">
        <v>639</v>
      </c>
      <c r="C67" s="251">
        <v>3400</v>
      </c>
      <c r="D67">
        <v>4</v>
      </c>
      <c r="E67">
        <v>3000</v>
      </c>
      <c r="F67">
        <v>3000</v>
      </c>
      <c r="G67">
        <v>0</v>
      </c>
      <c r="H67">
        <v>3000</v>
      </c>
      <c r="I67">
        <f aca="true" t="shared" si="4" ref="I67:I130">+A67</f>
        <v>341</v>
      </c>
      <c r="J67" t="str">
        <f aca="true" t="shared" si="5" ref="J67:J130">+B67</f>
        <v>Pastoral/ JIComerford</v>
      </c>
      <c r="K67">
        <f aca="true" t="shared" si="6" ref="K67:K130">+C67</f>
        <v>3400</v>
      </c>
      <c r="M67">
        <f>VLOOKUP(A67,'Cross ref Tab'!A:E,3,FALSE)</f>
        <v>1630</v>
      </c>
      <c r="O67">
        <f>VLOOKUP(A67,Workings!A:D,3,FALSE)-H67</f>
        <v>400</v>
      </c>
      <c r="Q67">
        <f>SUMIF('Approved 15-16 budget'!B:B,A67,'Approved 15-16 budget'!E:E)</f>
        <v>0</v>
      </c>
      <c r="R67">
        <f>SUMIF('Approved 15-16 budget'!B:B,A67,'Approved 15-16 budget'!D:D)</f>
        <v>0</v>
      </c>
      <c r="S67">
        <f aca="true" t="shared" si="7" ref="S67:S130">+C67</f>
        <v>3400</v>
      </c>
    </row>
    <row r="68" spans="1:19" ht="12.75">
      <c r="A68" s="251">
        <v>342</v>
      </c>
      <c r="B68" s="251" t="s">
        <v>137</v>
      </c>
      <c r="C68" s="251">
        <v>0</v>
      </c>
      <c r="D68">
        <v>4</v>
      </c>
      <c r="E68">
        <v>14000</v>
      </c>
      <c r="F68">
        <v>14000</v>
      </c>
      <c r="G68">
        <v>0</v>
      </c>
      <c r="H68">
        <v>14000</v>
      </c>
      <c r="I68">
        <f t="shared" si="4"/>
        <v>342</v>
      </c>
      <c r="J68" t="str">
        <f t="shared" si="5"/>
        <v>Pastoral-Sixth Fm-Raised Money</v>
      </c>
      <c r="K68">
        <f t="shared" si="6"/>
        <v>0</v>
      </c>
      <c r="M68">
        <f>VLOOKUP(A68,'Cross ref Tab'!A:E,3,FALSE)</f>
        <v>1630</v>
      </c>
      <c r="O68">
        <f>VLOOKUP(A68,Workings!A:D,3,FALSE)-H68</f>
        <v>-14000</v>
      </c>
      <c r="Q68">
        <f>SUMIF('Approved 15-16 budget'!B:B,A68,'Approved 15-16 budget'!E:E)</f>
        <v>0</v>
      </c>
      <c r="R68">
        <f>SUMIF('Approved 15-16 budget'!B:B,A68,'Approved 15-16 budget'!D:D)</f>
        <v>0</v>
      </c>
      <c r="S68">
        <f t="shared" si="7"/>
        <v>0</v>
      </c>
    </row>
    <row r="69" spans="1:19" ht="12.75">
      <c r="A69" s="251">
        <v>344</v>
      </c>
      <c r="B69" s="251" t="s">
        <v>640</v>
      </c>
      <c r="C69" s="251">
        <v>250</v>
      </c>
      <c r="D69">
        <v>4</v>
      </c>
      <c r="E69">
        <v>0</v>
      </c>
      <c r="F69">
        <v>4355</v>
      </c>
      <c r="G69">
        <v>0</v>
      </c>
      <c r="H69">
        <v>4355</v>
      </c>
      <c r="I69">
        <f t="shared" si="4"/>
        <v>344</v>
      </c>
      <c r="J69" t="str">
        <f t="shared" si="5"/>
        <v>Primary Liaison</v>
      </c>
      <c r="K69">
        <f t="shared" si="6"/>
        <v>250</v>
      </c>
      <c r="M69">
        <f>VLOOKUP(A69,'Cross ref Tab'!A:E,3,FALSE)</f>
        <v>1630</v>
      </c>
      <c r="O69">
        <f>VLOOKUP(A69,Workings!A:D,3,FALSE)-H69</f>
        <v>-4105</v>
      </c>
      <c r="Q69">
        <f>SUMIF('Approved 15-16 budget'!B:B,A69,'Approved 15-16 budget'!E:E)</f>
        <v>0</v>
      </c>
      <c r="R69">
        <f>SUMIF('Approved 15-16 budget'!B:B,A69,'Approved 15-16 budget'!D:D)</f>
        <v>0</v>
      </c>
      <c r="S69">
        <f t="shared" si="7"/>
        <v>250</v>
      </c>
    </row>
    <row r="70" spans="1:19" ht="12.75">
      <c r="A70" s="251">
        <v>346</v>
      </c>
      <c r="B70" s="251" t="s">
        <v>140</v>
      </c>
      <c r="C70" s="251">
        <v>800</v>
      </c>
      <c r="D70">
        <v>4</v>
      </c>
      <c r="E70">
        <v>900</v>
      </c>
      <c r="F70">
        <v>900</v>
      </c>
      <c r="G70">
        <v>0</v>
      </c>
      <c r="H70">
        <v>900</v>
      </c>
      <c r="I70">
        <f t="shared" si="4"/>
        <v>346</v>
      </c>
      <c r="J70" t="str">
        <f t="shared" si="5"/>
        <v>Pastoral -Sixth Form</v>
      </c>
      <c r="K70">
        <f t="shared" si="6"/>
        <v>800</v>
      </c>
      <c r="M70">
        <f>VLOOKUP(A70,'Cross ref Tab'!A:E,3,FALSE)</f>
        <v>1630</v>
      </c>
      <c r="O70">
        <f>VLOOKUP(A70,Workings!A:D,3,FALSE)-H70</f>
        <v>-100</v>
      </c>
      <c r="Q70">
        <f>SUMIF('Approved 15-16 budget'!B:B,A70,'Approved 15-16 budget'!E:E)</f>
        <v>0</v>
      </c>
      <c r="R70">
        <f>SUMIF('Approved 15-16 budget'!B:B,A70,'Approved 15-16 budget'!D:D)</f>
        <v>0</v>
      </c>
      <c r="S70">
        <f t="shared" si="7"/>
        <v>800</v>
      </c>
    </row>
    <row r="71" spans="1:19" ht="12.75">
      <c r="A71" s="251">
        <v>348</v>
      </c>
      <c r="B71" s="251" t="s">
        <v>141</v>
      </c>
      <c r="C71" s="251">
        <v>10750</v>
      </c>
      <c r="D71">
        <v>4</v>
      </c>
      <c r="E71">
        <v>20000</v>
      </c>
      <c r="F71">
        <v>20000</v>
      </c>
      <c r="G71">
        <v>0</v>
      </c>
      <c r="H71">
        <v>20000</v>
      </c>
      <c r="I71">
        <f t="shared" si="4"/>
        <v>348</v>
      </c>
      <c r="J71" t="str">
        <f t="shared" si="5"/>
        <v>BWD Delivery Group</v>
      </c>
      <c r="K71">
        <f t="shared" si="6"/>
        <v>10750</v>
      </c>
      <c r="M71">
        <f>VLOOKUP(A71,'Cross ref Tab'!A:E,3,FALSE)</f>
        <v>1670</v>
      </c>
      <c r="O71">
        <f>VLOOKUP(A71,Workings!A:D,3,FALSE)-H71</f>
        <v>-9250</v>
      </c>
      <c r="Q71">
        <f>SUMIF('Approved 15-16 budget'!B:B,A71,'Approved 15-16 budget'!E:E)</f>
        <v>0</v>
      </c>
      <c r="R71">
        <f>SUMIF('Approved 15-16 budget'!B:B,A71,'Approved 15-16 budget'!D:D)</f>
        <v>0</v>
      </c>
      <c r="S71">
        <f t="shared" si="7"/>
        <v>10750</v>
      </c>
    </row>
    <row r="72" spans="1:19" ht="12.75">
      <c r="A72" s="251">
        <v>349</v>
      </c>
      <c r="B72" s="251" t="s">
        <v>142</v>
      </c>
      <c r="C72" s="251">
        <v>70</v>
      </c>
      <c r="D72">
        <v>4</v>
      </c>
      <c r="E72">
        <v>0</v>
      </c>
      <c r="F72">
        <v>3654</v>
      </c>
      <c r="G72">
        <v>0</v>
      </c>
      <c r="H72">
        <v>3654</v>
      </c>
      <c r="I72">
        <f t="shared" si="4"/>
        <v>349</v>
      </c>
      <c r="J72" t="str">
        <f t="shared" si="5"/>
        <v>Student Council</v>
      </c>
      <c r="K72">
        <f t="shared" si="6"/>
        <v>70</v>
      </c>
      <c r="M72">
        <f>VLOOKUP(A72,'Cross ref Tab'!A:E,3,FALSE)</f>
        <v>1630</v>
      </c>
      <c r="O72">
        <f>VLOOKUP(A72,Workings!A:D,3,FALSE)-H72</f>
        <v>-3584</v>
      </c>
      <c r="Q72">
        <f>SUMIF('Approved 15-16 budget'!B:B,A72,'Approved 15-16 budget'!E:E)</f>
        <v>0</v>
      </c>
      <c r="R72">
        <f>SUMIF('Approved 15-16 budget'!B:B,A72,'Approved 15-16 budget'!D:D)</f>
        <v>0</v>
      </c>
      <c r="S72">
        <f t="shared" si="7"/>
        <v>70</v>
      </c>
    </row>
    <row r="73" spans="1:19" ht="12.75">
      <c r="A73" s="251">
        <v>350</v>
      </c>
      <c r="B73" s="251" t="s">
        <v>698</v>
      </c>
      <c r="C73" s="251">
        <v>100</v>
      </c>
      <c r="D73">
        <v>4</v>
      </c>
      <c r="E73">
        <v>44650</v>
      </c>
      <c r="F73">
        <v>46264</v>
      </c>
      <c r="G73">
        <v>0</v>
      </c>
      <c r="H73">
        <v>46264</v>
      </c>
      <c r="I73">
        <f t="shared" si="4"/>
        <v>350</v>
      </c>
      <c r="J73" t="str">
        <f t="shared" si="5"/>
        <v>Year 11- Work Experience</v>
      </c>
      <c r="K73">
        <f t="shared" si="6"/>
        <v>100</v>
      </c>
      <c r="M73">
        <f>VLOOKUP(A73,'Cross ref Tab'!A:E,3,FALSE)</f>
        <v>1650</v>
      </c>
      <c r="O73">
        <f>VLOOKUP(A73,Workings!A:D,3,FALSE)-H73</f>
        <v>-46164</v>
      </c>
      <c r="Q73">
        <f>SUMIF('Approved 15-16 budget'!B:B,A73,'Approved 15-16 budget'!E:E)</f>
        <v>0</v>
      </c>
      <c r="R73">
        <f>SUMIF('Approved 15-16 budget'!B:B,A73,'Approved 15-16 budget'!D:D)</f>
        <v>0</v>
      </c>
      <c r="S73">
        <f t="shared" si="7"/>
        <v>100</v>
      </c>
    </row>
    <row r="74" spans="1:19" ht="12.75">
      <c r="A74" s="251">
        <v>351</v>
      </c>
      <c r="B74" s="251" t="s">
        <v>144</v>
      </c>
      <c r="C74" s="251">
        <v>18482</v>
      </c>
      <c r="D74">
        <v>4</v>
      </c>
      <c r="E74">
        <v>0</v>
      </c>
      <c r="F74">
        <v>44439</v>
      </c>
      <c r="G74">
        <v>0</v>
      </c>
      <c r="H74">
        <v>44439</v>
      </c>
      <c r="I74">
        <f t="shared" si="4"/>
        <v>351</v>
      </c>
      <c r="J74" t="str">
        <f t="shared" si="5"/>
        <v>Bursary Funding-14-19</v>
      </c>
      <c r="K74">
        <f t="shared" si="6"/>
        <v>18482</v>
      </c>
      <c r="M74">
        <f>VLOOKUP(A74,'Cross ref Tab'!A:E,3,FALSE)</f>
        <v>1650</v>
      </c>
      <c r="O74">
        <f>VLOOKUP(A74,Workings!A:D,3,FALSE)-H74</f>
        <v>-25957</v>
      </c>
      <c r="Q74">
        <f>SUMIF('Approved 15-16 budget'!B:B,A74,'Approved 15-16 budget'!E:E)</f>
        <v>0</v>
      </c>
      <c r="R74">
        <f>SUMIF('Approved 15-16 budget'!B:B,A74,'Approved 15-16 budget'!D:D)</f>
        <v>0</v>
      </c>
      <c r="S74">
        <f t="shared" si="7"/>
        <v>18482</v>
      </c>
    </row>
    <row r="75" spans="1:19" ht="12.75">
      <c r="A75" s="251">
        <v>354</v>
      </c>
      <c r="B75" s="251" t="s">
        <v>146</v>
      </c>
      <c r="C75" s="251">
        <v>19465</v>
      </c>
      <c r="D75">
        <v>4</v>
      </c>
      <c r="E75">
        <v>3500</v>
      </c>
      <c r="F75">
        <v>3500</v>
      </c>
      <c r="G75">
        <v>0</v>
      </c>
      <c r="H75">
        <v>3500</v>
      </c>
      <c r="I75">
        <f t="shared" si="4"/>
        <v>354</v>
      </c>
      <c r="J75" t="str">
        <f t="shared" si="5"/>
        <v>Pupil Premuim</v>
      </c>
      <c r="K75">
        <f t="shared" si="6"/>
        <v>19465</v>
      </c>
      <c r="M75">
        <f>VLOOKUP(A75,'Cross ref Tab'!A:E,3,FALSE)</f>
        <v>1640</v>
      </c>
      <c r="O75">
        <f>VLOOKUP(A75,Workings!A:D,3,FALSE)-H75</f>
        <v>15965</v>
      </c>
      <c r="Q75">
        <f>SUMIF('Approved 15-16 budget'!B:B,A75,'Approved 15-16 budget'!E:E)</f>
        <v>0</v>
      </c>
      <c r="R75">
        <f>SUMIF('Approved 15-16 budget'!B:B,A75,'Approved 15-16 budget'!D:D)</f>
        <v>0</v>
      </c>
      <c r="S75">
        <f t="shared" si="7"/>
        <v>19465</v>
      </c>
    </row>
    <row r="76" spans="1:19" ht="12.75">
      <c r="A76" s="251" t="s">
        <v>531</v>
      </c>
      <c r="B76" s="251" t="s">
        <v>532</v>
      </c>
      <c r="C76" s="251">
        <v>0</v>
      </c>
      <c r="D76">
        <v>4</v>
      </c>
      <c r="E76">
        <v>13000</v>
      </c>
      <c r="F76">
        <v>13000</v>
      </c>
      <c r="G76">
        <v>0</v>
      </c>
      <c r="H76">
        <v>13000</v>
      </c>
      <c r="I76" t="str">
        <f t="shared" si="4"/>
        <v>354A</v>
      </c>
      <c r="J76" t="str">
        <f t="shared" si="5"/>
        <v>Pupil Premium-Catch Up</v>
      </c>
      <c r="K76">
        <f t="shared" si="6"/>
        <v>0</v>
      </c>
      <c r="M76">
        <f>VLOOKUP(A76,'Cross ref Tab'!A:E,3,FALSE)</f>
        <v>1640</v>
      </c>
      <c r="O76">
        <f>VLOOKUP(A76,Workings!A:D,3,FALSE)-H76</f>
        <v>-13000</v>
      </c>
      <c r="Q76">
        <f>SUMIF('Approved 15-16 budget'!B:B,A76,'Approved 15-16 budget'!E:E)</f>
        <v>0</v>
      </c>
      <c r="R76">
        <f>SUMIF('Approved 15-16 budget'!B:B,A76,'Approved 15-16 budget'!D:D)</f>
        <v>0</v>
      </c>
      <c r="S76">
        <f t="shared" si="7"/>
        <v>0</v>
      </c>
    </row>
    <row r="77" spans="1:19" ht="12.75">
      <c r="A77" s="251">
        <v>355</v>
      </c>
      <c r="B77" s="251" t="s">
        <v>563</v>
      </c>
      <c r="C77" s="251">
        <v>162000</v>
      </c>
      <c r="D77">
        <v>4</v>
      </c>
      <c r="E77">
        <v>145000</v>
      </c>
      <c r="F77">
        <v>145000</v>
      </c>
      <c r="G77">
        <v>0</v>
      </c>
      <c r="H77">
        <v>145000</v>
      </c>
      <c r="I77">
        <f t="shared" si="4"/>
        <v>355</v>
      </c>
      <c r="J77" t="str">
        <f t="shared" si="5"/>
        <v>Pupil Premium Staffing</v>
      </c>
      <c r="K77">
        <f t="shared" si="6"/>
        <v>162000</v>
      </c>
      <c r="M77">
        <f>VLOOKUP(A77,'Cross ref Tab'!A:E,3,FALSE)</f>
        <v>1640</v>
      </c>
      <c r="O77">
        <f>VLOOKUP(A77,Workings!A:D,3,FALSE)-H77</f>
        <v>17000</v>
      </c>
      <c r="Q77">
        <f>SUMIF('Approved 15-16 budget'!B:B,A77,'Approved 15-16 budget'!E:E)</f>
        <v>0</v>
      </c>
      <c r="R77">
        <f>SUMIF('Approved 15-16 budget'!B:B,A77,'Approved 15-16 budget'!D:D)</f>
        <v>0</v>
      </c>
      <c r="S77">
        <f t="shared" si="7"/>
        <v>162000</v>
      </c>
    </row>
    <row r="78" spans="1:19" ht="12.75">
      <c r="A78" s="251">
        <v>357</v>
      </c>
      <c r="B78" s="251" t="s">
        <v>539</v>
      </c>
      <c r="C78" s="251">
        <v>2600</v>
      </c>
      <c r="D78">
        <v>4</v>
      </c>
      <c r="E78">
        <v>500</v>
      </c>
      <c r="F78">
        <v>500</v>
      </c>
      <c r="G78">
        <v>0</v>
      </c>
      <c r="H78">
        <v>500</v>
      </c>
      <c r="I78">
        <f t="shared" si="4"/>
        <v>357</v>
      </c>
      <c r="J78" t="str">
        <f t="shared" si="5"/>
        <v>Stretch &amp; Challenge</v>
      </c>
      <c r="K78">
        <f t="shared" si="6"/>
        <v>2600</v>
      </c>
      <c r="M78">
        <f>VLOOKUP(A78,'Cross ref Tab'!A:E,3,FALSE)</f>
        <v>1640</v>
      </c>
      <c r="O78">
        <f>VLOOKUP(A78,Workings!A:D,3,FALSE)-H78</f>
        <v>2100</v>
      </c>
      <c r="Q78">
        <f>SUMIF('Approved 15-16 budget'!B:B,A78,'Approved 15-16 budget'!E:E)</f>
        <v>0</v>
      </c>
      <c r="R78">
        <f>SUMIF('Approved 15-16 budget'!B:B,A78,'Approved 15-16 budget'!D:D)</f>
        <v>0</v>
      </c>
      <c r="S78">
        <f t="shared" si="7"/>
        <v>2600</v>
      </c>
    </row>
    <row r="79" spans="1:19" ht="12.75">
      <c r="A79" s="251">
        <v>358</v>
      </c>
      <c r="B79" s="251" t="s">
        <v>641</v>
      </c>
      <c r="C79" s="251">
        <v>13400</v>
      </c>
      <c r="D79">
        <v>4</v>
      </c>
      <c r="E79">
        <v>0</v>
      </c>
      <c r="F79">
        <v>165</v>
      </c>
      <c r="G79">
        <v>0</v>
      </c>
      <c r="H79">
        <v>165</v>
      </c>
      <c r="I79">
        <f t="shared" si="4"/>
        <v>358</v>
      </c>
      <c r="J79" t="str">
        <f t="shared" si="5"/>
        <v>Careers</v>
      </c>
      <c r="K79">
        <f t="shared" si="6"/>
        <v>13400</v>
      </c>
      <c r="M79">
        <f>VLOOKUP(A79,'Cross ref Tab'!A:E,3,FALSE)</f>
        <v>1650</v>
      </c>
      <c r="O79">
        <f>VLOOKUP(A79,Workings!A:D,3,FALSE)-H79</f>
        <v>13235</v>
      </c>
      <c r="Q79">
        <f>SUMIF('Approved 15-16 budget'!B:B,A79,'Approved 15-16 budget'!E:E)</f>
        <v>0</v>
      </c>
      <c r="R79">
        <f>SUMIF('Approved 15-16 budget'!B:B,A79,'Approved 15-16 budget'!D:D)</f>
        <v>0</v>
      </c>
      <c r="S79">
        <f t="shared" si="7"/>
        <v>13400</v>
      </c>
    </row>
    <row r="80" spans="1:19" ht="12.75">
      <c r="A80" s="251">
        <v>360</v>
      </c>
      <c r="B80" s="251" t="s">
        <v>542</v>
      </c>
      <c r="C80" s="251">
        <v>0</v>
      </c>
      <c r="D80">
        <v>4</v>
      </c>
      <c r="E80">
        <v>2400</v>
      </c>
      <c r="F80">
        <v>3400</v>
      </c>
      <c r="G80">
        <v>0</v>
      </c>
      <c r="H80">
        <v>3400</v>
      </c>
      <c r="I80">
        <f t="shared" si="4"/>
        <v>360</v>
      </c>
      <c r="J80" t="str">
        <f t="shared" si="5"/>
        <v>Do not use</v>
      </c>
      <c r="K80">
        <f t="shared" si="6"/>
        <v>0</v>
      </c>
      <c r="M80">
        <f>VLOOKUP(A80,'Cross ref Tab'!A:E,3,FALSE)</f>
        <v>5300</v>
      </c>
      <c r="O80">
        <f>VLOOKUP(A80,Workings!A:D,3,FALSE)-H80</f>
        <v>-3400</v>
      </c>
      <c r="Q80">
        <f>SUMIF('Approved 15-16 budget'!B:B,A80,'Approved 15-16 budget'!E:E)</f>
        <v>0</v>
      </c>
      <c r="R80">
        <f>SUMIF('Approved 15-16 budget'!B:B,A80,'Approved 15-16 budget'!D:D)</f>
        <v>0</v>
      </c>
      <c r="S80">
        <f t="shared" si="7"/>
        <v>0</v>
      </c>
    </row>
    <row r="81" spans="1:19" ht="12.75">
      <c r="A81" s="251">
        <v>364</v>
      </c>
      <c r="B81" s="251" t="s">
        <v>564</v>
      </c>
      <c r="C81" s="251">
        <v>0</v>
      </c>
      <c r="D81">
        <v>4</v>
      </c>
      <c r="E81">
        <v>10000</v>
      </c>
      <c r="F81">
        <v>12466</v>
      </c>
      <c r="G81">
        <v>0</v>
      </c>
      <c r="H81">
        <v>12466</v>
      </c>
      <c r="I81">
        <f t="shared" si="4"/>
        <v>364</v>
      </c>
      <c r="J81" t="str">
        <f t="shared" si="5"/>
        <v>Summer School</v>
      </c>
      <c r="K81">
        <f t="shared" si="6"/>
        <v>0</v>
      </c>
      <c r="M81">
        <f>VLOOKUP(A81,'Cross ref Tab'!A:E,3,FALSE)</f>
        <v>1600</v>
      </c>
      <c r="O81">
        <f>VLOOKUP(A81,Workings!A:D,3,FALSE)-H81</f>
        <v>-12466</v>
      </c>
      <c r="Q81">
        <f>SUMIF('Approved 15-16 budget'!B:B,A81,'Approved 15-16 budget'!E:E)</f>
        <v>0</v>
      </c>
      <c r="R81">
        <f>SUMIF('Approved 15-16 budget'!B:B,A81,'Approved 15-16 budget'!D:D)</f>
        <v>0</v>
      </c>
      <c r="S81">
        <f t="shared" si="7"/>
        <v>0</v>
      </c>
    </row>
    <row r="82" spans="1:19" ht="12.75">
      <c r="A82" s="251">
        <v>365</v>
      </c>
      <c r="B82" s="251" t="s">
        <v>565</v>
      </c>
      <c r="C82" s="251">
        <v>1427</v>
      </c>
      <c r="D82">
        <v>4</v>
      </c>
      <c r="E82">
        <v>6000</v>
      </c>
      <c r="F82">
        <v>6000</v>
      </c>
      <c r="G82">
        <v>0</v>
      </c>
      <c r="H82">
        <v>6000</v>
      </c>
      <c r="I82">
        <f t="shared" si="4"/>
        <v>365</v>
      </c>
      <c r="J82" t="str">
        <f t="shared" si="5"/>
        <v>Cricket School</v>
      </c>
      <c r="K82">
        <f t="shared" si="6"/>
        <v>1427</v>
      </c>
      <c r="M82">
        <f>VLOOKUP(A82,'Cross ref Tab'!A:E,3,FALSE)</f>
        <v>1600</v>
      </c>
      <c r="O82">
        <f>VLOOKUP(A82,Workings!A:D,3,FALSE)-H82</f>
        <v>-4573</v>
      </c>
      <c r="Q82">
        <f>SUMIF('Approved 15-16 budget'!B:B,A82,'Approved 15-16 budget'!E:E)</f>
        <v>0</v>
      </c>
      <c r="R82">
        <f>SUMIF('Approved 15-16 budget'!B:B,A82,'Approved 15-16 budget'!D:D)</f>
        <v>0</v>
      </c>
      <c r="S82">
        <f t="shared" si="7"/>
        <v>1427</v>
      </c>
    </row>
    <row r="83" spans="1:19" ht="12.75">
      <c r="A83" s="251">
        <v>366</v>
      </c>
      <c r="B83" s="251" t="s">
        <v>153</v>
      </c>
      <c r="C83" s="251">
        <v>25000</v>
      </c>
      <c r="D83">
        <v>4</v>
      </c>
      <c r="E83">
        <v>-1000</v>
      </c>
      <c r="F83">
        <v>0</v>
      </c>
      <c r="G83">
        <v>-1000</v>
      </c>
      <c r="H83">
        <v>-1000</v>
      </c>
      <c r="I83">
        <f t="shared" si="4"/>
        <v>366</v>
      </c>
      <c r="J83" t="str">
        <f t="shared" si="5"/>
        <v>Football Academy</v>
      </c>
      <c r="K83">
        <f t="shared" si="6"/>
        <v>25000</v>
      </c>
      <c r="M83">
        <f>VLOOKUP(A83,'Cross ref Tab'!A:E,3,FALSE)</f>
        <v>1600</v>
      </c>
      <c r="O83">
        <f>VLOOKUP(A83,Workings!A:D,3,FALSE)-H83</f>
        <v>26000</v>
      </c>
      <c r="Q83">
        <f>SUMIF('Approved 15-16 budget'!B:B,A83,'Approved 15-16 budget'!E:E)</f>
        <v>0</v>
      </c>
      <c r="R83">
        <f>SUMIF('Approved 15-16 budget'!B:B,A83,'Approved 15-16 budget'!D:D)</f>
        <v>0</v>
      </c>
      <c r="S83">
        <f t="shared" si="7"/>
        <v>25000</v>
      </c>
    </row>
    <row r="84" spans="1:19" ht="12.75">
      <c r="A84" s="251">
        <v>367</v>
      </c>
      <c r="B84" s="251" t="s">
        <v>154</v>
      </c>
      <c r="C84" s="251">
        <v>2574</v>
      </c>
      <c r="D84">
        <v>4</v>
      </c>
      <c r="E84">
        <v>2500</v>
      </c>
      <c r="F84">
        <v>2500</v>
      </c>
      <c r="G84">
        <v>0</v>
      </c>
      <c r="H84">
        <v>2500</v>
      </c>
      <c r="I84">
        <f t="shared" si="4"/>
        <v>367</v>
      </c>
      <c r="J84" t="str">
        <f t="shared" si="5"/>
        <v>Duke of Edinburgh Award</v>
      </c>
      <c r="K84">
        <f t="shared" si="6"/>
        <v>2574</v>
      </c>
      <c r="M84">
        <f>VLOOKUP(A84,'Cross ref Tab'!A:E,3,FALSE)</f>
        <v>1650</v>
      </c>
      <c r="O84">
        <f>VLOOKUP(A84,Workings!A:D,3,FALSE)-H84</f>
        <v>74</v>
      </c>
      <c r="Q84">
        <f>SUMIF('Approved 15-16 budget'!B:B,A84,'Approved 15-16 budget'!E:E)</f>
        <v>0</v>
      </c>
      <c r="R84">
        <f>SUMIF('Approved 15-16 budget'!B:B,A84,'Approved 15-16 budget'!D:D)</f>
        <v>0</v>
      </c>
      <c r="S84">
        <f t="shared" si="7"/>
        <v>2574</v>
      </c>
    </row>
    <row r="85" spans="1:19" ht="12.75">
      <c r="A85" s="251">
        <v>369</v>
      </c>
      <c r="B85" s="251" t="s">
        <v>155</v>
      </c>
      <c r="C85" s="251">
        <v>28883</v>
      </c>
      <c r="D85">
        <v>4</v>
      </c>
      <c r="E85">
        <v>7500</v>
      </c>
      <c r="F85">
        <v>7500</v>
      </c>
      <c r="G85">
        <v>0</v>
      </c>
      <c r="H85">
        <v>7500</v>
      </c>
      <c r="I85">
        <f t="shared" si="4"/>
        <v>369</v>
      </c>
      <c r="J85" t="str">
        <f t="shared" si="5"/>
        <v>School Improvement</v>
      </c>
      <c r="K85">
        <f t="shared" si="6"/>
        <v>28883</v>
      </c>
      <c r="M85">
        <f>VLOOKUP(A85,'Cross ref Tab'!A:E,3,FALSE)</f>
        <v>1620</v>
      </c>
      <c r="O85">
        <f>VLOOKUP(A85,Workings!A:D,3,FALSE)-H85</f>
        <v>21383</v>
      </c>
      <c r="Q85">
        <f>SUMIF('Approved 15-16 budget'!B:B,A85,'Approved 15-16 budget'!E:E)</f>
        <v>0</v>
      </c>
      <c r="R85">
        <f>SUMIF('Approved 15-16 budget'!B:B,A85,'Approved 15-16 budget'!D:D)</f>
        <v>0</v>
      </c>
      <c r="S85">
        <f t="shared" si="7"/>
        <v>28883</v>
      </c>
    </row>
    <row r="86" spans="1:19" ht="12.75">
      <c r="A86" s="251">
        <v>370</v>
      </c>
      <c r="B86" s="251" t="s">
        <v>566</v>
      </c>
      <c r="C86" s="251">
        <v>0</v>
      </c>
      <c r="D86">
        <v>4</v>
      </c>
      <c r="E86">
        <v>40000</v>
      </c>
      <c r="F86">
        <v>40000</v>
      </c>
      <c r="G86">
        <v>0</v>
      </c>
      <c r="H86">
        <v>40000</v>
      </c>
      <c r="I86">
        <f t="shared" si="4"/>
        <v>370</v>
      </c>
      <c r="J86" t="str">
        <f t="shared" si="5"/>
        <v>School Improvement - Buildings</v>
      </c>
      <c r="K86">
        <f t="shared" si="6"/>
        <v>0</v>
      </c>
      <c r="M86">
        <f>VLOOKUP(A86,'Cross ref Tab'!A:E,3,FALSE)</f>
        <v>1620</v>
      </c>
      <c r="O86">
        <f>VLOOKUP(A86,Workings!A:D,3,FALSE)-H86</f>
        <v>-40000</v>
      </c>
      <c r="Q86">
        <f>SUMIF('Approved 15-16 budget'!B:B,A86,'Approved 15-16 budget'!E:E)</f>
        <v>0</v>
      </c>
      <c r="R86">
        <f>SUMIF('Approved 15-16 budget'!B:B,A86,'Approved 15-16 budget'!D:D)</f>
        <v>0</v>
      </c>
      <c r="S86">
        <f t="shared" si="7"/>
        <v>0</v>
      </c>
    </row>
    <row r="87" spans="1:19" ht="12.75">
      <c r="A87" s="251">
        <v>502</v>
      </c>
      <c r="B87" s="251" t="s">
        <v>158</v>
      </c>
      <c r="C87" s="251">
        <v>3500</v>
      </c>
      <c r="D87">
        <v>4</v>
      </c>
      <c r="E87">
        <v>2200</v>
      </c>
      <c r="F87">
        <v>2200</v>
      </c>
      <c r="G87">
        <v>0</v>
      </c>
      <c r="H87">
        <v>2200</v>
      </c>
      <c r="I87">
        <f t="shared" si="4"/>
        <v>502</v>
      </c>
      <c r="J87" t="str">
        <f t="shared" si="5"/>
        <v>Catering Costs-Other</v>
      </c>
      <c r="K87">
        <f t="shared" si="6"/>
        <v>3500</v>
      </c>
      <c r="M87">
        <f>VLOOKUP(A87,'Cross ref Tab'!A:E,3,FALSE)</f>
        <v>1810</v>
      </c>
      <c r="O87">
        <f>VLOOKUP(A87,Workings!A:D,3,FALSE)-H87</f>
        <v>1300</v>
      </c>
      <c r="Q87">
        <f>SUMIF('Approved 15-16 budget'!B:B,A87,'Approved 15-16 budget'!E:E)</f>
        <v>0</v>
      </c>
      <c r="R87">
        <f>SUMIF('Approved 15-16 budget'!B:B,A87,'Approved 15-16 budget'!D:D)</f>
        <v>0</v>
      </c>
      <c r="S87">
        <f t="shared" si="7"/>
        <v>3500</v>
      </c>
    </row>
    <row r="88" spans="1:19" ht="12.75">
      <c r="A88" s="251">
        <v>503</v>
      </c>
      <c r="B88" s="251" t="s">
        <v>159</v>
      </c>
      <c r="C88" s="251">
        <v>12000</v>
      </c>
      <c r="D88">
        <v>4</v>
      </c>
      <c r="E88">
        <v>1500</v>
      </c>
      <c r="F88">
        <v>1500</v>
      </c>
      <c r="G88">
        <v>0</v>
      </c>
      <c r="H88">
        <v>1500</v>
      </c>
      <c r="I88">
        <f t="shared" si="4"/>
        <v>503</v>
      </c>
      <c r="J88" t="str">
        <f t="shared" si="5"/>
        <v>Communications-Telephone/Fax</v>
      </c>
      <c r="K88">
        <f t="shared" si="6"/>
        <v>12000</v>
      </c>
      <c r="M88">
        <f>VLOOKUP(A88,'Cross ref Tab'!A:E,3,FALSE)</f>
        <v>1800</v>
      </c>
      <c r="O88">
        <f>VLOOKUP(A88,Workings!A:D,3,FALSE)-H88</f>
        <v>10500</v>
      </c>
      <c r="Q88">
        <f>SUMIF('Approved 15-16 budget'!B:B,A88,'Approved 15-16 budget'!E:E)</f>
        <v>0</v>
      </c>
      <c r="R88">
        <f>SUMIF('Approved 15-16 budget'!B:B,A88,'Approved 15-16 budget'!D:D)</f>
        <v>0</v>
      </c>
      <c r="S88">
        <f t="shared" si="7"/>
        <v>12000</v>
      </c>
    </row>
    <row r="89" spans="1:19" ht="12.75">
      <c r="A89" s="251">
        <v>504</v>
      </c>
      <c r="B89" s="251" t="s">
        <v>160</v>
      </c>
      <c r="C89" s="251">
        <v>0</v>
      </c>
      <c r="D89">
        <v>4</v>
      </c>
      <c r="E89">
        <v>15000</v>
      </c>
      <c r="F89">
        <v>15000</v>
      </c>
      <c r="G89">
        <v>0</v>
      </c>
      <c r="H89">
        <v>15000</v>
      </c>
      <c r="I89">
        <f t="shared" si="4"/>
        <v>504</v>
      </c>
      <c r="J89" t="str">
        <f t="shared" si="5"/>
        <v>Departmental Services</v>
      </c>
      <c r="K89">
        <f t="shared" si="6"/>
        <v>0</v>
      </c>
      <c r="M89">
        <f>VLOOKUP(A89,'Cross ref Tab'!A:E,3,FALSE)</f>
        <v>2010</v>
      </c>
      <c r="O89">
        <f>VLOOKUP(A89,Workings!A:D,3,FALSE)-H89</f>
        <v>-15000</v>
      </c>
      <c r="Q89">
        <f>SUMIF('Approved 15-16 budget'!B:B,A89,'Approved 15-16 budget'!E:E)</f>
        <v>0</v>
      </c>
      <c r="R89">
        <f>SUMIF('Approved 15-16 budget'!B:B,A89,'Approved 15-16 budget'!D:D)</f>
        <v>0</v>
      </c>
      <c r="S89">
        <f t="shared" si="7"/>
        <v>0</v>
      </c>
    </row>
    <row r="90" spans="1:19" ht="12.75">
      <c r="A90" s="251">
        <v>505</v>
      </c>
      <c r="B90" s="251" t="s">
        <v>161</v>
      </c>
      <c r="C90" s="251">
        <v>140000</v>
      </c>
      <c r="D90">
        <v>4</v>
      </c>
      <c r="E90">
        <v>10000</v>
      </c>
      <c r="F90">
        <v>11483</v>
      </c>
      <c r="G90">
        <v>0</v>
      </c>
      <c r="H90">
        <v>11483</v>
      </c>
      <c r="I90">
        <f t="shared" si="4"/>
        <v>505</v>
      </c>
      <c r="J90" t="str">
        <f t="shared" si="5"/>
        <v>Exam Fees/Costs</v>
      </c>
      <c r="K90">
        <f t="shared" si="6"/>
        <v>140000</v>
      </c>
      <c r="M90">
        <f>VLOOKUP(A90,'Cross ref Tab'!A:E,3,FALSE)</f>
        <v>1610</v>
      </c>
      <c r="O90">
        <f>VLOOKUP(A90,Workings!A:D,3,FALSE)-H90</f>
        <v>128517</v>
      </c>
      <c r="Q90">
        <f>SUMIF('Approved 15-16 budget'!B:B,A90,'Approved 15-16 budget'!E:E)</f>
        <v>0</v>
      </c>
      <c r="R90">
        <f>SUMIF('Approved 15-16 budget'!B:B,A90,'Approved 15-16 budget'!D:D)</f>
        <v>0</v>
      </c>
      <c r="S90">
        <f t="shared" si="7"/>
        <v>140000</v>
      </c>
    </row>
    <row r="91" spans="1:19" ht="12.75">
      <c r="A91" s="251">
        <v>506</v>
      </c>
      <c r="B91" s="251" t="s">
        <v>162</v>
      </c>
      <c r="C91" s="251">
        <v>500</v>
      </c>
      <c r="D91">
        <v>4</v>
      </c>
      <c r="E91">
        <v>0</v>
      </c>
      <c r="F91">
        <v>7058</v>
      </c>
      <c r="G91">
        <v>0</v>
      </c>
      <c r="H91">
        <v>7058</v>
      </c>
      <c r="I91">
        <f t="shared" si="4"/>
        <v>506</v>
      </c>
      <c r="J91" t="str">
        <f t="shared" si="5"/>
        <v>First Aid</v>
      </c>
      <c r="K91">
        <f t="shared" si="6"/>
        <v>500</v>
      </c>
      <c r="M91">
        <f>VLOOKUP(A91,'Cross ref Tab'!A:E,3,FALSE)</f>
        <v>1630</v>
      </c>
      <c r="O91">
        <f>VLOOKUP(A91,Workings!A:D,3,FALSE)-H91</f>
        <v>-6558</v>
      </c>
      <c r="Q91">
        <f>SUMIF('Approved 15-16 budget'!B:B,A91,'Approved 15-16 budget'!E:E)</f>
        <v>0</v>
      </c>
      <c r="R91">
        <f>SUMIF('Approved 15-16 budget'!B:B,A91,'Approved 15-16 budget'!D:D)</f>
        <v>0</v>
      </c>
      <c r="S91">
        <f t="shared" si="7"/>
        <v>500</v>
      </c>
    </row>
    <row r="92" spans="1:19" ht="12.75">
      <c r="A92" s="251">
        <v>509</v>
      </c>
      <c r="B92" s="251" t="s">
        <v>167</v>
      </c>
      <c r="C92" s="251">
        <v>349</v>
      </c>
      <c r="D92">
        <v>4</v>
      </c>
      <c r="E92">
        <v>500</v>
      </c>
      <c r="F92">
        <v>500</v>
      </c>
      <c r="G92">
        <v>0</v>
      </c>
      <c r="H92">
        <v>500</v>
      </c>
      <c r="I92">
        <f t="shared" si="4"/>
        <v>509</v>
      </c>
      <c r="J92" t="str">
        <f t="shared" si="5"/>
        <v>Jack Petchey Foundation Awards</v>
      </c>
      <c r="K92">
        <f t="shared" si="6"/>
        <v>349</v>
      </c>
      <c r="M92">
        <f>VLOOKUP(A92,'Cross ref Tab'!A:E,3,FALSE)</f>
        <v>1630</v>
      </c>
      <c r="O92">
        <f>VLOOKUP(A92,Workings!A:D,3,FALSE)-H92</f>
        <v>449</v>
      </c>
      <c r="Q92">
        <f>SUMIF('Approved 15-16 budget'!B:B,A92,'Approved 15-16 budget'!E:E)</f>
        <v>0</v>
      </c>
      <c r="R92">
        <f>SUMIF('Approved 15-16 budget'!B:B,A92,'Approved 15-16 budget'!D:D)</f>
        <v>0</v>
      </c>
      <c r="S92">
        <f t="shared" si="7"/>
        <v>349</v>
      </c>
    </row>
    <row r="93" spans="1:19" ht="12.75">
      <c r="A93" s="251">
        <v>510</v>
      </c>
      <c r="B93" s="251" t="s">
        <v>168</v>
      </c>
      <c r="C93" s="251">
        <v>1800</v>
      </c>
      <c r="D93">
        <v>4</v>
      </c>
      <c r="E93">
        <v>184128</v>
      </c>
      <c r="F93">
        <v>184128</v>
      </c>
      <c r="G93">
        <v>0</v>
      </c>
      <c r="H93">
        <v>184128</v>
      </c>
      <c r="I93">
        <f t="shared" si="4"/>
        <v>510</v>
      </c>
      <c r="J93" t="str">
        <f t="shared" si="5"/>
        <v>Library</v>
      </c>
      <c r="K93">
        <f t="shared" si="6"/>
        <v>1800</v>
      </c>
      <c r="M93">
        <f>VLOOKUP(A93,'Cross ref Tab'!A:E,3,FALSE)</f>
        <v>1600</v>
      </c>
      <c r="O93">
        <f>VLOOKUP(A93,Workings!A:D,3,FALSE)-H93</f>
        <v>-182328</v>
      </c>
      <c r="Q93">
        <f>SUMIF('Approved 15-16 budget'!B:B,A93,'Approved 15-16 budget'!E:E)</f>
        <v>0</v>
      </c>
      <c r="R93">
        <f>SUMIF('Approved 15-16 budget'!B:B,A93,'Approved 15-16 budget'!D:D)</f>
        <v>0</v>
      </c>
      <c r="S93">
        <f t="shared" si="7"/>
        <v>1800</v>
      </c>
    </row>
    <row r="94" spans="1:19" ht="12.75">
      <c r="A94" s="251">
        <v>513</v>
      </c>
      <c r="B94" s="251" t="s">
        <v>173</v>
      </c>
      <c r="C94" s="251">
        <v>10000</v>
      </c>
      <c r="D94">
        <v>4</v>
      </c>
      <c r="E94">
        <v>0</v>
      </c>
      <c r="F94">
        <v>452</v>
      </c>
      <c r="G94">
        <v>0</v>
      </c>
      <c r="H94">
        <v>452</v>
      </c>
      <c r="I94">
        <f t="shared" si="4"/>
        <v>513</v>
      </c>
      <c r="J94" t="str">
        <f t="shared" si="5"/>
        <v>Minibus Expenditure</v>
      </c>
      <c r="K94">
        <f t="shared" si="6"/>
        <v>10000</v>
      </c>
      <c r="M94">
        <f>VLOOKUP(A94,'Cross ref Tab'!A:E,3,FALSE)</f>
        <v>1680</v>
      </c>
      <c r="O94">
        <f>VLOOKUP(A94,Workings!A:D,3,FALSE)-H94</f>
        <v>9548</v>
      </c>
      <c r="Q94">
        <f>SUMIF('Approved 15-16 budget'!B:B,A94,'Approved 15-16 budget'!E:E)</f>
        <v>0</v>
      </c>
      <c r="R94">
        <f>SUMIF('Approved 15-16 budget'!B:B,A94,'Approved 15-16 budget'!D:D)</f>
        <v>0</v>
      </c>
      <c r="S94">
        <f t="shared" si="7"/>
        <v>10000</v>
      </c>
    </row>
    <row r="95" spans="1:19" ht="12.75">
      <c r="A95" s="251">
        <v>514</v>
      </c>
      <c r="B95" s="251" t="s">
        <v>174</v>
      </c>
      <c r="C95" s="251">
        <v>0</v>
      </c>
      <c r="D95">
        <v>4</v>
      </c>
      <c r="E95">
        <v>1500</v>
      </c>
      <c r="F95">
        <v>1500</v>
      </c>
      <c r="G95">
        <v>0</v>
      </c>
      <c r="H95">
        <v>1500</v>
      </c>
      <c r="I95">
        <f t="shared" si="4"/>
        <v>514</v>
      </c>
      <c r="J95" t="str">
        <f t="shared" si="5"/>
        <v>Music Tuition</v>
      </c>
      <c r="K95">
        <f t="shared" si="6"/>
        <v>0</v>
      </c>
      <c r="M95">
        <f>VLOOKUP(A95,'Cross ref Tab'!A:E,3,FALSE)</f>
        <v>1600</v>
      </c>
      <c r="O95">
        <f>VLOOKUP(A95,Workings!A:D,3,FALSE)-H95</f>
        <v>-1500</v>
      </c>
      <c r="Q95">
        <f>SUMIF('Approved 15-16 budget'!B:B,A95,'Approved 15-16 budget'!E:E)</f>
        <v>0</v>
      </c>
      <c r="R95">
        <f>SUMIF('Approved 15-16 budget'!B:B,A95,'Approved 15-16 budget'!D:D)</f>
        <v>0</v>
      </c>
      <c r="S95">
        <f t="shared" si="7"/>
        <v>0</v>
      </c>
    </row>
    <row r="96" spans="1:19" ht="12.75">
      <c r="A96" s="251">
        <v>515</v>
      </c>
      <c r="B96" s="251" t="s">
        <v>175</v>
      </c>
      <c r="C96" s="251">
        <v>5000</v>
      </c>
      <c r="D96">
        <v>4</v>
      </c>
      <c r="E96">
        <v>100000</v>
      </c>
      <c r="F96">
        <v>110170</v>
      </c>
      <c r="G96">
        <v>0</v>
      </c>
      <c r="H96">
        <v>110170</v>
      </c>
      <c r="I96">
        <f t="shared" si="4"/>
        <v>515</v>
      </c>
      <c r="J96" t="str">
        <f t="shared" si="5"/>
        <v>Office Expenses-Admin</v>
      </c>
      <c r="K96">
        <f t="shared" si="6"/>
        <v>5000</v>
      </c>
      <c r="M96">
        <f>VLOOKUP(A96,'Cross ref Tab'!A:E,3,FALSE)</f>
        <v>1830</v>
      </c>
      <c r="O96">
        <f>VLOOKUP(A96,Workings!A:D,3,FALSE)-H96</f>
        <v>-105170</v>
      </c>
      <c r="Q96">
        <f>SUMIF('Approved 15-16 budget'!B:B,A96,'Approved 15-16 budget'!E:E)</f>
        <v>0</v>
      </c>
      <c r="R96">
        <f>SUMIF('Approved 15-16 budget'!B:B,A96,'Approved 15-16 budget'!D:D)</f>
        <v>0</v>
      </c>
      <c r="S96">
        <f t="shared" si="7"/>
        <v>5000</v>
      </c>
    </row>
    <row r="97" spans="1:19" ht="12.75">
      <c r="A97" s="251">
        <v>516</v>
      </c>
      <c r="B97" s="251" t="s">
        <v>176</v>
      </c>
      <c r="C97" s="251">
        <v>-10000</v>
      </c>
      <c r="D97">
        <v>4</v>
      </c>
      <c r="E97">
        <v>-2000</v>
      </c>
      <c r="F97">
        <v>0</v>
      </c>
      <c r="G97">
        <v>-2000</v>
      </c>
      <c r="H97">
        <v>-2000</v>
      </c>
      <c r="I97">
        <f t="shared" si="4"/>
        <v>516</v>
      </c>
      <c r="J97" t="str">
        <f t="shared" si="5"/>
        <v>Other Income</v>
      </c>
      <c r="K97">
        <f t="shared" si="6"/>
        <v>-10000</v>
      </c>
      <c r="M97">
        <f>VLOOKUP(A97,'Cross ref Tab'!A:E,3,FALSE)</f>
        <v>5300</v>
      </c>
      <c r="O97">
        <f>VLOOKUP(A97,Workings!A:D,3,FALSE)-H97</f>
        <v>-28600</v>
      </c>
      <c r="Q97">
        <f>SUMIF('Approved 15-16 budget'!B:B,A97,'Approved 15-16 budget'!E:E)</f>
        <v>0</v>
      </c>
      <c r="R97">
        <f>SUMIF('Approved 15-16 budget'!B:B,A97,'Approved 15-16 budget'!D:D)</f>
        <v>0</v>
      </c>
      <c r="S97">
        <f t="shared" si="7"/>
        <v>-10000</v>
      </c>
    </row>
    <row r="98" spans="1:19" ht="12.75">
      <c r="A98" s="251">
        <v>517</v>
      </c>
      <c r="B98" s="251" t="s">
        <v>177</v>
      </c>
      <c r="C98" s="251">
        <v>2500</v>
      </c>
      <c r="D98">
        <v>4</v>
      </c>
      <c r="E98">
        <v>3000</v>
      </c>
      <c r="F98">
        <v>3000</v>
      </c>
      <c r="G98">
        <v>0</v>
      </c>
      <c r="H98">
        <v>3000</v>
      </c>
      <c r="I98">
        <f t="shared" si="4"/>
        <v>517</v>
      </c>
      <c r="J98" t="str">
        <f t="shared" si="5"/>
        <v>Hospitality Costs</v>
      </c>
      <c r="K98">
        <f t="shared" si="6"/>
        <v>2500</v>
      </c>
      <c r="M98">
        <f>VLOOKUP(A98,'Cross ref Tab'!A:E,3,FALSE)</f>
        <v>2200</v>
      </c>
      <c r="O98">
        <f>VLOOKUP(A98,Workings!A:D,3,FALSE)-H98</f>
        <v>-500</v>
      </c>
      <c r="Q98">
        <f>SUMIF('Approved 15-16 budget'!B:B,A98,'Approved 15-16 budget'!E:E)</f>
        <v>0</v>
      </c>
      <c r="R98">
        <f>SUMIF('Approved 15-16 budget'!B:B,A98,'Approved 15-16 budget'!D:D)</f>
        <v>0</v>
      </c>
      <c r="S98">
        <f t="shared" si="7"/>
        <v>2500</v>
      </c>
    </row>
    <row r="99" spans="1:19" ht="12.75">
      <c r="A99" s="251">
        <v>518</v>
      </c>
      <c r="B99" s="251" t="s">
        <v>178</v>
      </c>
      <c r="C99" s="251">
        <v>6000</v>
      </c>
      <c r="D99">
        <v>4</v>
      </c>
      <c r="E99">
        <v>31450</v>
      </c>
      <c r="F99">
        <v>31450</v>
      </c>
      <c r="G99">
        <v>0</v>
      </c>
      <c r="H99">
        <v>31450</v>
      </c>
      <c r="I99">
        <f t="shared" si="4"/>
        <v>518</v>
      </c>
      <c r="J99" t="str">
        <f t="shared" si="5"/>
        <v>Postage</v>
      </c>
      <c r="K99">
        <f t="shared" si="6"/>
        <v>6000</v>
      </c>
      <c r="M99">
        <f>VLOOKUP(A99,'Cross ref Tab'!A:E,3,FALSE)</f>
        <v>1830</v>
      </c>
      <c r="O99">
        <f>VLOOKUP(A99,Workings!A:D,3,FALSE)-H99</f>
        <v>-25450</v>
      </c>
      <c r="Q99">
        <f>SUMIF('Approved 15-16 budget'!B:B,A99,'Approved 15-16 budget'!E:E)</f>
        <v>0</v>
      </c>
      <c r="R99">
        <f>SUMIF('Approved 15-16 budget'!B:B,A99,'Approved 15-16 budget'!D:D)</f>
        <v>0</v>
      </c>
      <c r="S99">
        <f t="shared" si="7"/>
        <v>6000</v>
      </c>
    </row>
    <row r="100" spans="1:19" ht="12.75">
      <c r="A100" s="251">
        <v>519</v>
      </c>
      <c r="B100" s="251" t="s">
        <v>179</v>
      </c>
      <c r="C100" s="251">
        <v>35000</v>
      </c>
      <c r="D100">
        <v>4</v>
      </c>
      <c r="E100">
        <v>7000</v>
      </c>
      <c r="F100">
        <v>7000</v>
      </c>
      <c r="G100">
        <v>0</v>
      </c>
      <c r="H100">
        <v>7000</v>
      </c>
      <c r="I100">
        <f t="shared" si="4"/>
        <v>519</v>
      </c>
      <c r="J100" t="str">
        <f t="shared" si="5"/>
        <v>Professional Fees-School</v>
      </c>
      <c r="K100">
        <f t="shared" si="6"/>
        <v>35000</v>
      </c>
      <c r="M100">
        <f>VLOOKUP(A100,'Cross ref Tab'!A:E,3,FALSE)</f>
        <v>1820</v>
      </c>
      <c r="O100">
        <f>VLOOKUP(A100,Workings!A:D,3,FALSE)-H100</f>
        <v>28000</v>
      </c>
      <c r="Q100">
        <f>SUMIF('Approved 15-16 budget'!B:B,A100,'Approved 15-16 budget'!E:E)</f>
        <v>0</v>
      </c>
      <c r="R100">
        <f>SUMIF('Approved 15-16 budget'!B:B,A100,'Approved 15-16 budget'!D:D)</f>
        <v>0</v>
      </c>
      <c r="S100">
        <f t="shared" si="7"/>
        <v>35000</v>
      </c>
    </row>
    <row r="101" spans="1:19" ht="12.75">
      <c r="A101" s="251">
        <v>520</v>
      </c>
      <c r="B101" s="251" t="s">
        <v>180</v>
      </c>
      <c r="C101" s="251">
        <v>0</v>
      </c>
      <c r="D101">
        <v>4</v>
      </c>
      <c r="E101">
        <v>250</v>
      </c>
      <c r="F101">
        <v>250</v>
      </c>
      <c r="G101">
        <v>0</v>
      </c>
      <c r="H101">
        <v>250</v>
      </c>
      <c r="I101">
        <f t="shared" si="4"/>
        <v>520</v>
      </c>
      <c r="J101" t="str">
        <f t="shared" si="5"/>
        <v>Pupil Travel</v>
      </c>
      <c r="K101">
        <f t="shared" si="6"/>
        <v>0</v>
      </c>
      <c r="M101">
        <f>VLOOKUP(A101,'Cross ref Tab'!A:E,3,FALSE)</f>
        <v>1680</v>
      </c>
      <c r="O101">
        <f>VLOOKUP(A101,Workings!A:D,3,FALSE)-H101</f>
        <v>-250</v>
      </c>
      <c r="Q101">
        <f>SUMIF('Approved 15-16 budget'!B:B,A101,'Approved 15-16 budget'!E:E)</f>
        <v>0</v>
      </c>
      <c r="R101">
        <f>SUMIF('Approved 15-16 budget'!B:B,A101,'Approved 15-16 budget'!D:D)</f>
        <v>0</v>
      </c>
      <c r="S101">
        <f t="shared" si="7"/>
        <v>0</v>
      </c>
    </row>
    <row r="102" spans="1:19" ht="12.75">
      <c r="A102" s="251">
        <v>522</v>
      </c>
      <c r="B102" s="251" t="s">
        <v>567</v>
      </c>
      <c r="C102" s="251">
        <v>2000</v>
      </c>
      <c r="D102">
        <v>4</v>
      </c>
      <c r="E102">
        <v>3000</v>
      </c>
      <c r="F102">
        <v>3000</v>
      </c>
      <c r="G102">
        <v>0</v>
      </c>
      <c r="H102">
        <v>3000</v>
      </c>
      <c r="I102">
        <f t="shared" si="4"/>
        <v>522</v>
      </c>
      <c r="J102" t="str">
        <f t="shared" si="5"/>
        <v>Irrecoverable VAT</v>
      </c>
      <c r="K102">
        <f t="shared" si="6"/>
        <v>2000</v>
      </c>
      <c r="M102">
        <f>VLOOKUP(A102,'Cross ref Tab'!A:E,3,FALSE)</f>
        <v>2230</v>
      </c>
      <c r="O102">
        <f>VLOOKUP(A102,Workings!A:D,3,FALSE)-H102</f>
        <v>-1000</v>
      </c>
      <c r="Q102">
        <f>SUMIF('Approved 15-16 budget'!B:B,A102,'Approved 15-16 budget'!E:E)</f>
        <v>0</v>
      </c>
      <c r="R102">
        <f>SUMIF('Approved 15-16 budget'!B:B,A102,'Approved 15-16 budget'!D:D)</f>
        <v>0</v>
      </c>
      <c r="S102">
        <f t="shared" si="7"/>
        <v>2000</v>
      </c>
    </row>
    <row r="103" spans="1:19" ht="12.75">
      <c r="A103" s="251">
        <v>526</v>
      </c>
      <c r="B103" s="251" t="s">
        <v>183</v>
      </c>
      <c r="C103" s="251">
        <v>4000</v>
      </c>
      <c r="D103">
        <v>4</v>
      </c>
      <c r="E103">
        <v>125000</v>
      </c>
      <c r="F103">
        <v>125000</v>
      </c>
      <c r="G103">
        <v>0</v>
      </c>
      <c r="H103">
        <v>125000</v>
      </c>
      <c r="I103">
        <f t="shared" si="4"/>
        <v>526</v>
      </c>
      <c r="J103" t="str">
        <f t="shared" si="5"/>
        <v>Staff Recruitment/ Advertising</v>
      </c>
      <c r="K103">
        <f t="shared" si="6"/>
        <v>4000</v>
      </c>
      <c r="M103">
        <f>VLOOKUP(A103,'Cross ref Tab'!A:E,3,FALSE)</f>
        <v>2200</v>
      </c>
      <c r="O103">
        <f>VLOOKUP(A103,Workings!A:D,3,FALSE)-H103</f>
        <v>-121000</v>
      </c>
      <c r="Q103">
        <f>SUMIF('Approved 15-16 budget'!B:B,A103,'Approved 15-16 budget'!E:E)</f>
        <v>0</v>
      </c>
      <c r="R103">
        <f>SUMIF('Approved 15-16 budget'!B:B,A103,'Approved 15-16 budget'!D:D)</f>
        <v>0</v>
      </c>
      <c r="S103">
        <f t="shared" si="7"/>
        <v>4000</v>
      </c>
    </row>
    <row r="104" spans="1:19" ht="12.75">
      <c r="A104" s="251">
        <v>527</v>
      </c>
      <c r="B104" s="251" t="s">
        <v>184</v>
      </c>
      <c r="C104" s="251">
        <v>14926</v>
      </c>
      <c r="D104">
        <v>4</v>
      </c>
      <c r="E104">
        <v>2500</v>
      </c>
      <c r="F104">
        <v>2500</v>
      </c>
      <c r="G104">
        <v>0</v>
      </c>
      <c r="H104">
        <v>2500</v>
      </c>
      <c r="I104">
        <f t="shared" si="4"/>
        <v>527</v>
      </c>
      <c r="J104" t="str">
        <f t="shared" si="5"/>
        <v>Marketing-Headteacher</v>
      </c>
      <c r="K104">
        <f t="shared" si="6"/>
        <v>14926</v>
      </c>
      <c r="M104">
        <f>VLOOKUP(A104,'Cross ref Tab'!A:E,3,FALSE)</f>
        <v>1620</v>
      </c>
      <c r="O104">
        <f>VLOOKUP(A104,Workings!A:D,3,FALSE)-H104</f>
        <v>12426</v>
      </c>
      <c r="Q104">
        <f>SUMIF('Approved 15-16 budget'!B:B,A104,'Approved 15-16 budget'!E:E)</f>
        <v>0</v>
      </c>
      <c r="R104">
        <f>SUMIF('Approved 15-16 budget'!B:B,A104,'Approved 15-16 budget'!D:D)</f>
        <v>0</v>
      </c>
      <c r="S104">
        <f t="shared" si="7"/>
        <v>14926</v>
      </c>
    </row>
    <row r="105" spans="1:19" ht="12.75">
      <c r="A105" s="251">
        <v>531</v>
      </c>
      <c r="B105" s="251" t="s">
        <v>185</v>
      </c>
      <c r="C105" s="251">
        <v>0</v>
      </c>
      <c r="D105">
        <v>4</v>
      </c>
      <c r="E105">
        <v>80000</v>
      </c>
      <c r="F105">
        <v>80000</v>
      </c>
      <c r="G105">
        <v>0</v>
      </c>
      <c r="H105">
        <v>80000</v>
      </c>
      <c r="I105">
        <f t="shared" si="4"/>
        <v>531</v>
      </c>
      <c r="J105" t="str">
        <f t="shared" si="5"/>
        <v>Pupil Exclusion/Referral</v>
      </c>
      <c r="K105">
        <f t="shared" si="6"/>
        <v>0</v>
      </c>
      <c r="M105">
        <f>VLOOKUP(A105,'Cross ref Tab'!A:E,3,FALSE)</f>
        <v>1640</v>
      </c>
      <c r="O105">
        <f>VLOOKUP(A105,Workings!A:D,3,FALSE)-H105</f>
        <v>-80000</v>
      </c>
      <c r="Q105">
        <f>SUMIF('Approved 15-16 budget'!B:B,A105,'Approved 15-16 budget'!E:E)</f>
        <v>0</v>
      </c>
      <c r="R105">
        <f>SUMIF('Approved 15-16 budget'!B:B,A105,'Approved 15-16 budget'!D:D)</f>
        <v>0</v>
      </c>
      <c r="S105">
        <f t="shared" si="7"/>
        <v>0</v>
      </c>
    </row>
    <row r="106" spans="1:19" ht="12.75">
      <c r="A106" s="251">
        <v>536</v>
      </c>
      <c r="B106" s="251" t="s">
        <v>187</v>
      </c>
      <c r="C106" s="251">
        <v>450</v>
      </c>
      <c r="D106">
        <v>4</v>
      </c>
      <c r="E106">
        <v>20000</v>
      </c>
      <c r="F106">
        <v>20000</v>
      </c>
      <c r="G106">
        <v>0</v>
      </c>
      <c r="H106">
        <v>20000</v>
      </c>
      <c r="I106">
        <f t="shared" si="4"/>
        <v>536</v>
      </c>
      <c r="J106" t="str">
        <f t="shared" si="5"/>
        <v>Field Study Support</v>
      </c>
      <c r="K106">
        <f t="shared" si="6"/>
        <v>450</v>
      </c>
      <c r="M106">
        <f>VLOOKUP(A106,'Cross ref Tab'!A:E,3,FALSE)</f>
        <v>1640</v>
      </c>
      <c r="O106">
        <f>VLOOKUP(A106,Workings!A:D,3,FALSE)-H106</f>
        <v>-19550</v>
      </c>
      <c r="Q106">
        <f>SUMIF('Approved 15-16 budget'!B:B,A106,'Approved 15-16 budget'!E:E)</f>
        <v>0</v>
      </c>
      <c r="R106">
        <f>SUMIF('Approved 15-16 budget'!B:B,A106,'Approved 15-16 budget'!D:D)</f>
        <v>0</v>
      </c>
      <c r="S106">
        <f t="shared" si="7"/>
        <v>450</v>
      </c>
    </row>
    <row r="107" spans="1:19" ht="12.75">
      <c r="A107" s="251">
        <v>539</v>
      </c>
      <c r="B107" s="251" t="s">
        <v>188</v>
      </c>
      <c r="C107" s="251">
        <v>38500</v>
      </c>
      <c r="D107">
        <v>4</v>
      </c>
      <c r="E107">
        <v>28000</v>
      </c>
      <c r="F107">
        <v>28000</v>
      </c>
      <c r="G107">
        <v>0</v>
      </c>
      <c r="H107">
        <v>28000</v>
      </c>
      <c r="I107">
        <f t="shared" si="4"/>
        <v>539</v>
      </c>
      <c r="J107" t="str">
        <f t="shared" si="5"/>
        <v>Alternative Education-JIC</v>
      </c>
      <c r="K107">
        <f t="shared" si="6"/>
        <v>38500</v>
      </c>
      <c r="M107">
        <f>VLOOKUP(A107,'Cross ref Tab'!A:E,3,FALSE)</f>
        <v>1650</v>
      </c>
      <c r="O107">
        <f>VLOOKUP(A107,Workings!A:D,3,FALSE)-H107</f>
        <v>10500</v>
      </c>
      <c r="Q107">
        <f>SUMIF('Approved 15-16 budget'!B:B,A107,'Approved 15-16 budget'!E:E)</f>
        <v>0</v>
      </c>
      <c r="R107">
        <f>SUMIF('Approved 15-16 budget'!B:B,A107,'Approved 15-16 budget'!D:D)</f>
        <v>0</v>
      </c>
      <c r="S107">
        <f t="shared" si="7"/>
        <v>38500</v>
      </c>
    </row>
    <row r="108" spans="1:19" ht="12.75">
      <c r="A108" s="251">
        <v>540</v>
      </c>
      <c r="B108" s="251" t="s">
        <v>189</v>
      </c>
      <c r="C108" s="251">
        <v>0</v>
      </c>
      <c r="D108">
        <v>4</v>
      </c>
      <c r="E108">
        <v>34500</v>
      </c>
      <c r="F108">
        <v>34500</v>
      </c>
      <c r="G108">
        <v>0</v>
      </c>
      <c r="H108">
        <v>34500</v>
      </c>
      <c r="I108">
        <f t="shared" si="4"/>
        <v>540</v>
      </c>
      <c r="J108" t="str">
        <f t="shared" si="5"/>
        <v>Catering Income</v>
      </c>
      <c r="K108">
        <f t="shared" si="6"/>
        <v>0</v>
      </c>
      <c r="M108">
        <f>VLOOKUP(A108,'Cross ref Tab'!A:E,3,FALSE)</f>
        <v>1810</v>
      </c>
      <c r="O108">
        <f>VLOOKUP(A108,Workings!A:D,3,FALSE)-H108</f>
        <v>-34500</v>
      </c>
      <c r="Q108">
        <f>SUMIF('Approved 15-16 budget'!B:B,A108,'Approved 15-16 budget'!E:E)</f>
        <v>0</v>
      </c>
      <c r="R108">
        <f>SUMIF('Approved 15-16 budget'!B:B,A108,'Approved 15-16 budget'!D:D)</f>
        <v>0</v>
      </c>
      <c r="S108">
        <f t="shared" si="7"/>
        <v>0</v>
      </c>
    </row>
    <row r="109" spans="1:19" ht="12.75">
      <c r="A109" s="251">
        <v>541</v>
      </c>
      <c r="B109" s="251" t="s">
        <v>581</v>
      </c>
      <c r="C109" s="251">
        <v>0</v>
      </c>
      <c r="D109">
        <v>4</v>
      </c>
      <c r="E109">
        <v>-75000</v>
      </c>
      <c r="F109">
        <v>0</v>
      </c>
      <c r="G109">
        <v>-75000</v>
      </c>
      <c r="H109">
        <v>-75000</v>
      </c>
      <c r="I109">
        <f t="shared" si="4"/>
        <v>541</v>
      </c>
      <c r="J109" t="str">
        <f t="shared" si="5"/>
        <v>NEET Intervention Activities</v>
      </c>
      <c r="K109">
        <f t="shared" si="6"/>
        <v>0</v>
      </c>
      <c r="M109">
        <f>VLOOKUP(A109,'Cross ref Tab'!A:E,3,FALSE)</f>
        <v>1640</v>
      </c>
      <c r="O109">
        <f>VLOOKUP(A109,Workings!A:D,3,FALSE)-H109</f>
        <v>75000</v>
      </c>
      <c r="Q109">
        <f>SUMIF('Approved 15-16 budget'!B:B,A109,'Approved 15-16 budget'!E:E)</f>
        <v>0</v>
      </c>
      <c r="R109">
        <f>SUMIF('Approved 15-16 budget'!B:B,A109,'Approved 15-16 budget'!D:D)</f>
        <v>0</v>
      </c>
      <c r="S109">
        <f t="shared" si="7"/>
        <v>0</v>
      </c>
    </row>
    <row r="110" spans="1:19" ht="12.75">
      <c r="A110" s="251">
        <v>542</v>
      </c>
      <c r="B110" s="251" t="s">
        <v>193</v>
      </c>
      <c r="C110" s="251">
        <v>0</v>
      </c>
      <c r="D110">
        <v>4</v>
      </c>
      <c r="E110">
        <v>11000</v>
      </c>
      <c r="F110">
        <v>11000</v>
      </c>
      <c r="G110">
        <v>0</v>
      </c>
      <c r="H110">
        <v>11000</v>
      </c>
      <c r="I110">
        <f t="shared" si="4"/>
        <v>542</v>
      </c>
      <c r="J110" t="str">
        <f t="shared" si="5"/>
        <v>.Do not use</v>
      </c>
      <c r="K110">
        <f t="shared" si="6"/>
        <v>0</v>
      </c>
      <c r="M110">
        <f>VLOOKUP(A110,'Cross ref Tab'!A:E,3,FALSE)</f>
        <v>9900</v>
      </c>
      <c r="O110">
        <f>VLOOKUP(A110,Workings!A:D,3,FALSE)-H110</f>
        <v>-11000</v>
      </c>
      <c r="Q110">
        <f>SUMIF('Approved 15-16 budget'!B:B,A110,'Approved 15-16 budget'!E:E)</f>
        <v>0</v>
      </c>
      <c r="R110">
        <f>SUMIF('Approved 15-16 budget'!B:B,A110,'Approved 15-16 budget'!D:D)</f>
        <v>0</v>
      </c>
      <c r="S110">
        <f t="shared" si="7"/>
        <v>0</v>
      </c>
    </row>
    <row r="111" spans="1:19" ht="12.75">
      <c r="A111" s="251">
        <v>544</v>
      </c>
      <c r="B111" s="251" t="s">
        <v>195</v>
      </c>
      <c r="C111" s="251">
        <v>1000</v>
      </c>
      <c r="D111">
        <v>4</v>
      </c>
      <c r="E111">
        <v>23000</v>
      </c>
      <c r="F111">
        <v>23000</v>
      </c>
      <c r="G111">
        <v>0</v>
      </c>
      <c r="H111">
        <v>23000</v>
      </c>
      <c r="I111">
        <f t="shared" si="4"/>
        <v>544</v>
      </c>
      <c r="J111" t="str">
        <f t="shared" si="5"/>
        <v>Governors</v>
      </c>
      <c r="K111">
        <f t="shared" si="6"/>
        <v>1000</v>
      </c>
      <c r="M111">
        <f>VLOOKUP(A111,'Cross ref Tab'!A:E,3,FALSE)</f>
        <v>1820</v>
      </c>
      <c r="O111">
        <f>VLOOKUP(A111,Workings!A:D,3,FALSE)-H111</f>
        <v>-22000</v>
      </c>
      <c r="Q111">
        <f>SUMIF('Approved 15-16 budget'!B:B,A111,'Approved 15-16 budget'!E:E)</f>
        <v>0</v>
      </c>
      <c r="R111">
        <f>SUMIF('Approved 15-16 budget'!B:B,A111,'Approved 15-16 budget'!D:D)</f>
        <v>0</v>
      </c>
      <c r="S111">
        <f t="shared" si="7"/>
        <v>1000</v>
      </c>
    </row>
    <row r="112" spans="1:19" ht="12.75">
      <c r="A112" s="251">
        <v>545</v>
      </c>
      <c r="B112" s="251" t="s">
        <v>196</v>
      </c>
      <c r="C112" s="251">
        <v>0</v>
      </c>
      <c r="D112">
        <v>4</v>
      </c>
      <c r="E112">
        <v>137000</v>
      </c>
      <c r="F112">
        <v>137000</v>
      </c>
      <c r="G112">
        <v>0</v>
      </c>
      <c r="H112">
        <v>137000</v>
      </c>
      <c r="I112">
        <f t="shared" si="4"/>
        <v>545</v>
      </c>
      <c r="J112" t="str">
        <f t="shared" si="5"/>
        <v>Charity Collections</v>
      </c>
      <c r="K112">
        <f t="shared" si="6"/>
        <v>0</v>
      </c>
      <c r="M112">
        <f>VLOOKUP(A112,'Cross ref Tab'!A:E,3,FALSE)</f>
        <v>5300</v>
      </c>
      <c r="O112">
        <f>VLOOKUP(A112,Workings!A:D,3,FALSE)-H112</f>
        <v>-137000</v>
      </c>
      <c r="Q112">
        <f>SUMIF('Approved 15-16 budget'!B:B,A112,'Approved 15-16 budget'!E:E)</f>
        <v>0</v>
      </c>
      <c r="R112">
        <f>SUMIF('Approved 15-16 budget'!B:B,A112,'Approved 15-16 budget'!D:D)</f>
        <v>0</v>
      </c>
      <c r="S112">
        <f t="shared" si="7"/>
        <v>0</v>
      </c>
    </row>
    <row r="113" spans="1:19" ht="12.75">
      <c r="A113" s="251">
        <v>548</v>
      </c>
      <c r="B113" s="251" t="s">
        <v>197</v>
      </c>
      <c r="C113" s="251">
        <v>90000</v>
      </c>
      <c r="D113">
        <v>4</v>
      </c>
      <c r="E113">
        <v>-32250</v>
      </c>
      <c r="F113">
        <v>0</v>
      </c>
      <c r="G113">
        <v>-32250</v>
      </c>
      <c r="H113">
        <v>-32250</v>
      </c>
      <c r="I113">
        <f t="shared" si="4"/>
        <v>548</v>
      </c>
      <c r="J113" t="str">
        <f t="shared" si="5"/>
        <v>IT-Maintenance</v>
      </c>
      <c r="K113">
        <f t="shared" si="6"/>
        <v>90000</v>
      </c>
      <c r="M113">
        <f>VLOOKUP(A113,'Cross ref Tab'!A:E,3,FALSE)</f>
        <v>2000</v>
      </c>
      <c r="O113">
        <f>VLOOKUP(A113,Workings!A:D,3,FALSE)-H113</f>
        <v>122250</v>
      </c>
      <c r="Q113">
        <f>SUMIF('Approved 15-16 budget'!B:B,A113,'Approved 15-16 budget'!E:E)</f>
        <v>0</v>
      </c>
      <c r="R113">
        <f>SUMIF('Approved 15-16 budget'!B:B,A113,'Approved 15-16 budget'!D:D)</f>
        <v>0</v>
      </c>
      <c r="S113">
        <f t="shared" si="7"/>
        <v>90000</v>
      </c>
    </row>
    <row r="114" spans="1:19" ht="12.75">
      <c r="A114" s="251">
        <v>550</v>
      </c>
      <c r="B114" s="251" t="s">
        <v>642</v>
      </c>
      <c r="C114" s="251">
        <v>-2000</v>
      </c>
      <c r="D114">
        <v>4</v>
      </c>
      <c r="E114">
        <v>14000</v>
      </c>
      <c r="F114">
        <v>14000</v>
      </c>
      <c r="G114">
        <v>0</v>
      </c>
      <c r="H114">
        <v>14000</v>
      </c>
      <c r="I114">
        <f t="shared" si="4"/>
        <v>550</v>
      </c>
      <c r="J114" t="str">
        <f t="shared" si="5"/>
        <v>Parent Donations</v>
      </c>
      <c r="K114">
        <f t="shared" si="6"/>
        <v>-2000</v>
      </c>
      <c r="M114">
        <f>VLOOKUP(A114,'Cross ref Tab'!A:E,3,FALSE)</f>
        <v>5300</v>
      </c>
      <c r="O114">
        <f>VLOOKUP(A114,Workings!A:D,3,FALSE)-H114</f>
        <v>-16000</v>
      </c>
      <c r="Q114">
        <f>SUMIF('Approved 15-16 budget'!B:B,A114,'Approved 15-16 budget'!E:E)</f>
        <v>0</v>
      </c>
      <c r="R114">
        <f>SUMIF('Approved 15-16 budget'!B:B,A114,'Approved 15-16 budget'!D:D)</f>
        <v>0</v>
      </c>
      <c r="S114">
        <f t="shared" si="7"/>
        <v>-2000</v>
      </c>
    </row>
    <row r="115" spans="1:19" ht="12.75">
      <c r="A115" s="251">
        <v>552</v>
      </c>
      <c r="B115" s="251" t="s">
        <v>524</v>
      </c>
      <c r="C115" s="251">
        <v>857</v>
      </c>
      <c r="D115">
        <v>4</v>
      </c>
      <c r="E115">
        <v>-60000</v>
      </c>
      <c r="F115">
        <v>0</v>
      </c>
      <c r="G115">
        <v>-60000</v>
      </c>
      <c r="H115">
        <v>-60000</v>
      </c>
      <c r="I115">
        <f t="shared" si="4"/>
        <v>552</v>
      </c>
      <c r="J115" t="str">
        <f t="shared" si="5"/>
        <v>Staffroom Fund</v>
      </c>
      <c r="K115">
        <f t="shared" si="6"/>
        <v>857</v>
      </c>
      <c r="M115">
        <f>VLOOKUP(A115,'Cross ref Tab'!A:E,3,FALSE)</f>
        <v>5300</v>
      </c>
      <c r="O115">
        <f>VLOOKUP(A115,Workings!A:D,3,FALSE)-H115</f>
        <v>60857</v>
      </c>
      <c r="Q115">
        <f>SUMIF('Approved 15-16 budget'!B:B,A115,'Approved 15-16 budget'!E:E)</f>
        <v>0</v>
      </c>
      <c r="R115">
        <f>SUMIF('Approved 15-16 budget'!B:B,A115,'Approved 15-16 budget'!D:D)</f>
        <v>0</v>
      </c>
      <c r="S115">
        <f t="shared" si="7"/>
        <v>857</v>
      </c>
    </row>
    <row r="116" spans="1:19" ht="12.75">
      <c r="A116" s="251">
        <v>557</v>
      </c>
      <c r="B116" s="251" t="s">
        <v>582</v>
      </c>
      <c r="C116" s="251">
        <v>0</v>
      </c>
      <c r="D116">
        <v>4</v>
      </c>
      <c r="E116">
        <v>41417</v>
      </c>
      <c r="F116">
        <v>41417</v>
      </c>
      <c r="G116">
        <v>0</v>
      </c>
      <c r="H116">
        <v>41417</v>
      </c>
      <c r="I116">
        <f t="shared" si="4"/>
        <v>557</v>
      </c>
      <c r="J116" t="str">
        <f t="shared" si="5"/>
        <v>SLT</v>
      </c>
      <c r="K116">
        <f t="shared" si="6"/>
        <v>0</v>
      </c>
      <c r="M116">
        <f>VLOOKUP(A116,'Cross ref Tab'!A:E,3,FALSE)</f>
        <v>1640</v>
      </c>
      <c r="O116">
        <f>VLOOKUP(A116,Workings!A:D,3,FALSE)-H116</f>
        <v>-41417</v>
      </c>
      <c r="Q116">
        <f>SUMIF('Approved 15-16 budget'!B:B,A116,'Approved 15-16 budget'!E:E)</f>
        <v>0</v>
      </c>
      <c r="R116">
        <f>SUMIF('Approved 15-16 budget'!B:B,A116,'Approved 15-16 budget'!D:D)</f>
        <v>0</v>
      </c>
      <c r="S116">
        <f t="shared" si="7"/>
        <v>0</v>
      </c>
    </row>
    <row r="117" spans="1:19" ht="12.75">
      <c r="A117" s="251">
        <v>560</v>
      </c>
      <c r="B117" s="251" t="s">
        <v>203</v>
      </c>
      <c r="C117" s="251">
        <v>2500</v>
      </c>
      <c r="D117">
        <v>4</v>
      </c>
      <c r="E117">
        <v>15000</v>
      </c>
      <c r="F117">
        <v>85000</v>
      </c>
      <c r="G117">
        <v>0</v>
      </c>
      <c r="H117">
        <v>85000</v>
      </c>
      <c r="I117">
        <f t="shared" si="4"/>
        <v>560</v>
      </c>
      <c r="J117" t="str">
        <f t="shared" si="5"/>
        <v>Communications-Maintenance</v>
      </c>
      <c r="K117">
        <f t="shared" si="6"/>
        <v>2500</v>
      </c>
      <c r="M117">
        <f>VLOOKUP(A117,'Cross ref Tab'!A:E,3,FALSE)</f>
        <v>1800</v>
      </c>
      <c r="O117">
        <f>VLOOKUP(A117,Workings!A:D,3,FALSE)-H117</f>
        <v>-82500</v>
      </c>
      <c r="Q117">
        <f>SUMIF('Approved 15-16 budget'!B:B,A117,'Approved 15-16 budget'!E:E)</f>
        <v>0</v>
      </c>
      <c r="R117">
        <f>SUMIF('Approved 15-16 budget'!B:B,A117,'Approved 15-16 budget'!D:D)</f>
        <v>0</v>
      </c>
      <c r="S117">
        <f t="shared" si="7"/>
        <v>2500</v>
      </c>
    </row>
    <row r="118" spans="1:19" ht="12.75">
      <c r="A118" s="251">
        <v>564</v>
      </c>
      <c r="B118" s="251" t="s">
        <v>205</v>
      </c>
      <c r="C118" s="251">
        <v>31500</v>
      </c>
      <c r="D118">
        <v>4</v>
      </c>
      <c r="E118">
        <v>-828</v>
      </c>
      <c r="F118">
        <v>0</v>
      </c>
      <c r="G118">
        <v>-828</v>
      </c>
      <c r="H118">
        <v>-828</v>
      </c>
      <c r="I118">
        <f t="shared" si="4"/>
        <v>564</v>
      </c>
      <c r="J118" t="str">
        <f t="shared" si="5"/>
        <v>Free School Meals-Students</v>
      </c>
      <c r="K118">
        <f t="shared" si="6"/>
        <v>31500</v>
      </c>
      <c r="M118">
        <f>VLOOKUP(A118,'Cross ref Tab'!A:E,3,FALSE)</f>
        <v>1640</v>
      </c>
      <c r="O118">
        <f>VLOOKUP(A118,Workings!A:D,3,FALSE)-H118</f>
        <v>32328</v>
      </c>
      <c r="Q118">
        <f>SUMIF('Approved 15-16 budget'!B:B,A118,'Approved 15-16 budget'!E:E)</f>
        <v>0</v>
      </c>
      <c r="R118">
        <f>SUMIF('Approved 15-16 budget'!B:B,A118,'Approved 15-16 budget'!D:D)</f>
        <v>0</v>
      </c>
      <c r="S118">
        <f t="shared" si="7"/>
        <v>31500</v>
      </c>
    </row>
    <row r="119" spans="1:19" ht="12.75">
      <c r="A119" s="251">
        <v>565</v>
      </c>
      <c r="B119" s="251" t="s">
        <v>206</v>
      </c>
      <c r="C119" s="251">
        <v>8500</v>
      </c>
      <c r="D119">
        <v>4</v>
      </c>
      <c r="E119">
        <v>2000</v>
      </c>
      <c r="F119">
        <v>2000</v>
      </c>
      <c r="G119">
        <v>0</v>
      </c>
      <c r="H119">
        <v>2000</v>
      </c>
      <c r="I119">
        <f t="shared" si="4"/>
        <v>565</v>
      </c>
      <c r="J119" t="str">
        <f t="shared" si="5"/>
        <v>Free School Meals-Staff</v>
      </c>
      <c r="K119">
        <f t="shared" si="6"/>
        <v>8500</v>
      </c>
      <c r="M119">
        <f>VLOOKUP(A119,'Cross ref Tab'!A:E,3,FALSE)</f>
        <v>2200</v>
      </c>
      <c r="O119">
        <f>VLOOKUP(A119,Workings!A:D,3,FALSE)-H119</f>
        <v>6500</v>
      </c>
      <c r="Q119">
        <f>SUMIF('Approved 15-16 budget'!B:B,A119,'Approved 15-16 budget'!E:E)</f>
        <v>0</v>
      </c>
      <c r="R119">
        <f>SUMIF('Approved 15-16 budget'!B:B,A119,'Approved 15-16 budget'!D:D)</f>
        <v>0</v>
      </c>
      <c r="S119">
        <f t="shared" si="7"/>
        <v>8500</v>
      </c>
    </row>
    <row r="120" spans="1:19" ht="12.75">
      <c r="A120" s="251">
        <v>576</v>
      </c>
      <c r="B120" s="251" t="s">
        <v>211</v>
      </c>
      <c r="C120" s="251">
        <v>200</v>
      </c>
      <c r="D120">
        <v>4</v>
      </c>
      <c r="E120">
        <v>800</v>
      </c>
      <c r="F120">
        <v>3932</v>
      </c>
      <c r="G120">
        <v>0</v>
      </c>
      <c r="H120">
        <v>3932</v>
      </c>
      <c r="I120">
        <f t="shared" si="4"/>
        <v>576</v>
      </c>
      <c r="J120" t="str">
        <f t="shared" si="5"/>
        <v>Oasis Centre</v>
      </c>
      <c r="K120">
        <f t="shared" si="6"/>
        <v>200</v>
      </c>
      <c r="M120">
        <f>VLOOKUP(A120,'Cross ref Tab'!A:E,3,FALSE)</f>
        <v>1600</v>
      </c>
      <c r="O120">
        <f>VLOOKUP(A120,Workings!A:D,3,FALSE)-H120</f>
        <v>-3732</v>
      </c>
      <c r="Q120">
        <f>SUMIF('Approved 15-16 budget'!B:B,A120,'Approved 15-16 budget'!E:E)</f>
        <v>0</v>
      </c>
      <c r="R120">
        <f>SUMIF('Approved 15-16 budget'!B:B,A120,'Approved 15-16 budget'!D:D)</f>
        <v>0</v>
      </c>
      <c r="S120">
        <f t="shared" si="7"/>
        <v>200</v>
      </c>
    </row>
    <row r="121" spans="1:19" ht="12.75">
      <c r="A121" s="251">
        <v>601</v>
      </c>
      <c r="B121" s="251" t="s">
        <v>568</v>
      </c>
      <c r="C121" s="251">
        <v>2500</v>
      </c>
      <c r="D121">
        <v>4</v>
      </c>
      <c r="E121">
        <v>0</v>
      </c>
      <c r="F121">
        <v>1500</v>
      </c>
      <c r="G121">
        <v>0</v>
      </c>
      <c r="H121">
        <v>1500</v>
      </c>
      <c r="I121">
        <f t="shared" si="4"/>
        <v>601</v>
      </c>
      <c r="J121" t="str">
        <f t="shared" si="5"/>
        <v>Licences/Subscriptions/Fees</v>
      </c>
      <c r="K121">
        <f t="shared" si="6"/>
        <v>2500</v>
      </c>
      <c r="M121">
        <f>VLOOKUP(A121,'Cross ref Tab'!A:E,3,FALSE)</f>
        <v>1825</v>
      </c>
      <c r="O121">
        <f>VLOOKUP(A121,Workings!A:D,3,FALSE)-H121</f>
        <v>1000</v>
      </c>
      <c r="Q121">
        <f>SUMIF('Approved 15-16 budget'!B:B,A121,'Approved 15-16 budget'!E:E)</f>
        <v>0</v>
      </c>
      <c r="R121">
        <f>SUMIF('Approved 15-16 budget'!B:B,A121,'Approved 15-16 budget'!D:D)</f>
        <v>0</v>
      </c>
      <c r="S121">
        <f t="shared" si="7"/>
        <v>2500</v>
      </c>
    </row>
    <row r="122" spans="1:19" ht="12.75">
      <c r="A122" s="251">
        <v>602</v>
      </c>
      <c r="B122" s="251" t="s">
        <v>215</v>
      </c>
      <c r="C122" s="251">
        <v>125000</v>
      </c>
      <c r="D122">
        <v>4</v>
      </c>
      <c r="E122">
        <v>0</v>
      </c>
      <c r="F122">
        <v>15409</v>
      </c>
      <c r="G122">
        <v>0</v>
      </c>
      <c r="H122">
        <v>15409</v>
      </c>
      <c r="I122">
        <f t="shared" si="4"/>
        <v>602</v>
      </c>
      <c r="J122" t="str">
        <f t="shared" si="5"/>
        <v>Cleaning</v>
      </c>
      <c r="K122">
        <f t="shared" si="6"/>
        <v>125000</v>
      </c>
      <c r="M122">
        <f>VLOOKUP(A122,'Cross ref Tab'!A:E,3,FALSE)</f>
        <v>1500</v>
      </c>
      <c r="O122">
        <f>VLOOKUP(A122,Workings!A:D,3,FALSE)-H122</f>
        <v>109591</v>
      </c>
      <c r="Q122">
        <f>SUMIF('Approved 15-16 budget'!B:B,A122,'Approved 15-16 budget'!E:E)</f>
        <v>0</v>
      </c>
      <c r="R122">
        <f>SUMIF('Approved 15-16 budget'!B:B,A122,'Approved 15-16 budget'!D:D)</f>
        <v>0</v>
      </c>
      <c r="S122">
        <f t="shared" si="7"/>
        <v>125000</v>
      </c>
    </row>
    <row r="123" spans="1:19" ht="12.75">
      <c r="A123" s="251">
        <v>603</v>
      </c>
      <c r="B123" s="251" t="s">
        <v>699</v>
      </c>
      <c r="C123" s="251">
        <v>54530</v>
      </c>
      <c r="D123">
        <v>4</v>
      </c>
      <c r="E123">
        <v>0</v>
      </c>
      <c r="F123">
        <v>104</v>
      </c>
      <c r="G123">
        <v>0</v>
      </c>
      <c r="H123">
        <v>104</v>
      </c>
      <c r="I123">
        <f t="shared" si="4"/>
        <v>603</v>
      </c>
      <c r="J123" t="str">
        <f t="shared" si="5"/>
        <v>Devolved Formula Capital</v>
      </c>
      <c r="K123">
        <f t="shared" si="6"/>
        <v>54530</v>
      </c>
      <c r="M123">
        <f>VLOOKUP(A123,'Cross ref Tab'!A:E,3,FALSE)</f>
        <v>9900</v>
      </c>
      <c r="O123">
        <f>VLOOKUP(A123,Workings!A:D,3,FALSE)-H123</f>
        <v>54426</v>
      </c>
      <c r="Q123">
        <f>SUMIF('Approved 15-16 budget'!B:B,A123,'Approved 15-16 budget'!E:E)</f>
        <v>0</v>
      </c>
      <c r="R123">
        <f>SUMIF('Approved 15-16 budget'!B:B,A123,'Approved 15-16 budget'!D:D)</f>
        <v>0</v>
      </c>
      <c r="S123">
        <f t="shared" si="7"/>
        <v>54530</v>
      </c>
    </row>
    <row r="124" spans="1:19" ht="12.75">
      <c r="A124" s="251">
        <v>604</v>
      </c>
      <c r="B124" s="251" t="s">
        <v>216</v>
      </c>
      <c r="C124" s="251">
        <v>1000</v>
      </c>
      <c r="D124">
        <v>4</v>
      </c>
      <c r="E124">
        <v>0</v>
      </c>
      <c r="F124">
        <v>342</v>
      </c>
      <c r="G124">
        <v>0</v>
      </c>
      <c r="H124">
        <v>342</v>
      </c>
      <c r="I124">
        <f t="shared" si="4"/>
        <v>604</v>
      </c>
      <c r="J124" t="str">
        <f t="shared" si="5"/>
        <v>Furniture&amp;Equipment</v>
      </c>
      <c r="K124">
        <f t="shared" si="6"/>
        <v>1000</v>
      </c>
      <c r="M124">
        <f>VLOOKUP(A124,'Cross ref Tab'!A:E,3,FALSE)</f>
        <v>1900</v>
      </c>
      <c r="O124">
        <f>VLOOKUP(A124,Workings!A:D,3,FALSE)-H124</f>
        <v>658</v>
      </c>
      <c r="Q124">
        <f>SUMIF('Approved 15-16 budget'!B:B,A124,'Approved 15-16 budget'!E:E)</f>
        <v>0</v>
      </c>
      <c r="R124">
        <f>SUMIF('Approved 15-16 budget'!B:B,A124,'Approved 15-16 budget'!D:D)</f>
        <v>0</v>
      </c>
      <c r="S124">
        <f t="shared" si="7"/>
        <v>1000</v>
      </c>
    </row>
    <row r="125" spans="1:19" ht="12.75">
      <c r="A125" s="251">
        <v>605</v>
      </c>
      <c r="B125" s="251" t="s">
        <v>217</v>
      </c>
      <c r="C125" s="251">
        <v>65000</v>
      </c>
      <c r="D125">
        <v>4</v>
      </c>
      <c r="E125">
        <v>0</v>
      </c>
      <c r="F125">
        <v>1184</v>
      </c>
      <c r="G125">
        <v>0</v>
      </c>
      <c r="H125">
        <v>1184</v>
      </c>
      <c r="I125">
        <f t="shared" si="4"/>
        <v>605</v>
      </c>
      <c r="J125" t="str">
        <f t="shared" si="5"/>
        <v>General Buildings&amp;Premises Maint</v>
      </c>
      <c r="K125">
        <f t="shared" si="6"/>
        <v>65000</v>
      </c>
      <c r="M125">
        <f>VLOOKUP(A125,'Cross ref Tab'!A:E,3,FALSE)</f>
        <v>1410</v>
      </c>
      <c r="O125">
        <f>VLOOKUP(A125,Workings!A:D,3,FALSE)-H125</f>
        <v>63816</v>
      </c>
      <c r="Q125">
        <f>SUMIF('Approved 15-16 budget'!B:B,A125,'Approved 15-16 budget'!E:E)</f>
        <v>0</v>
      </c>
      <c r="R125">
        <f>SUMIF('Approved 15-16 budget'!B:B,A125,'Approved 15-16 budget'!D:D)</f>
        <v>0</v>
      </c>
      <c r="S125">
        <f t="shared" si="7"/>
        <v>65000</v>
      </c>
    </row>
    <row r="126" spans="1:19" ht="12.75">
      <c r="A126" s="251">
        <v>606</v>
      </c>
      <c r="B126" s="251" t="s">
        <v>218</v>
      </c>
      <c r="C126" s="251">
        <v>16000</v>
      </c>
      <c r="I126">
        <f t="shared" si="4"/>
        <v>606</v>
      </c>
      <c r="J126" t="str">
        <f t="shared" si="5"/>
        <v>Grounds Upkeep</v>
      </c>
      <c r="K126">
        <f t="shared" si="6"/>
        <v>16000</v>
      </c>
      <c r="M126">
        <f>VLOOKUP(A126,'Cross ref Tab'!A:E,3,FALSE)</f>
        <v>1420</v>
      </c>
      <c r="S126">
        <f t="shared" si="7"/>
        <v>16000</v>
      </c>
    </row>
    <row r="127" spans="1:19" ht="12.75">
      <c r="A127" s="251">
        <v>607</v>
      </c>
      <c r="B127" s="251" t="s">
        <v>219</v>
      </c>
      <c r="C127" s="251">
        <v>52000</v>
      </c>
      <c r="I127">
        <f t="shared" si="4"/>
        <v>607</v>
      </c>
      <c r="J127" t="str">
        <f t="shared" si="5"/>
        <v>Insurance-Buildings&amp;Contents</v>
      </c>
      <c r="K127">
        <f t="shared" si="6"/>
        <v>52000</v>
      </c>
      <c r="M127">
        <f>VLOOKUP(A127,'Cross ref Tab'!A:E,3,FALSE)</f>
        <v>1540</v>
      </c>
      <c r="S127">
        <f t="shared" si="7"/>
        <v>52000</v>
      </c>
    </row>
    <row r="128" spans="1:19" ht="12.75">
      <c r="A128" s="251">
        <v>608</v>
      </c>
      <c r="B128" s="251" t="s">
        <v>220</v>
      </c>
      <c r="C128" s="251">
        <v>34500</v>
      </c>
      <c r="I128">
        <f t="shared" si="4"/>
        <v>608</v>
      </c>
      <c r="J128" t="str">
        <f t="shared" si="5"/>
        <v>Rates</v>
      </c>
      <c r="K128">
        <f t="shared" si="6"/>
        <v>34500</v>
      </c>
      <c r="M128">
        <f>VLOOKUP(A128,'Cross ref Tab'!A:E,3,FALSE)</f>
        <v>1530</v>
      </c>
      <c r="Q128">
        <f>SUM(Q2:Q127)</f>
        <v>0</v>
      </c>
      <c r="R128">
        <f>SUM(R2:R127)</f>
        <v>0</v>
      </c>
      <c r="S128">
        <f t="shared" si="7"/>
        <v>34500</v>
      </c>
    </row>
    <row r="129" spans="1:19" ht="12.75">
      <c r="A129" s="251">
        <v>609</v>
      </c>
      <c r="B129" s="251" t="s">
        <v>221</v>
      </c>
      <c r="C129" s="251">
        <v>-75000</v>
      </c>
      <c r="I129">
        <f t="shared" si="4"/>
        <v>609</v>
      </c>
      <c r="J129" t="str">
        <f t="shared" si="5"/>
        <v>Lettings&amp;Rents</v>
      </c>
      <c r="K129">
        <f t="shared" si="6"/>
        <v>-75000</v>
      </c>
      <c r="M129">
        <f>VLOOKUP(A129,'Cross ref Tab'!A:E,3,FALSE)</f>
        <v>5300</v>
      </c>
      <c r="Q129">
        <f>-'Approved 15-16 budget'!B203</f>
        <v>0</v>
      </c>
      <c r="S129">
        <f t="shared" si="7"/>
        <v>-75000</v>
      </c>
    </row>
    <row r="130" spans="1:19" ht="12.75">
      <c r="A130" s="251">
        <v>611</v>
      </c>
      <c r="B130" s="251" t="s">
        <v>222</v>
      </c>
      <c r="C130" s="251">
        <v>8500</v>
      </c>
      <c r="I130">
        <f t="shared" si="4"/>
        <v>611</v>
      </c>
      <c r="J130" t="str">
        <f t="shared" si="5"/>
        <v>Swimming Pool</v>
      </c>
      <c r="K130">
        <f t="shared" si="6"/>
        <v>8500</v>
      </c>
      <c r="M130">
        <f>VLOOKUP(A130,'Cross ref Tab'!A:E,3,FALSE)</f>
        <v>1430</v>
      </c>
      <c r="Q130">
        <f>SUM(Q128:Q129)</f>
        <v>0</v>
      </c>
      <c r="R130">
        <f>SUM(R128:R129)</f>
        <v>0</v>
      </c>
      <c r="S130">
        <f t="shared" si="7"/>
        <v>8500</v>
      </c>
    </row>
    <row r="131" spans="1:19" ht="12.75">
      <c r="A131" s="251">
        <v>612</v>
      </c>
      <c r="B131" s="251" t="s">
        <v>223</v>
      </c>
      <c r="C131" s="251">
        <v>24000</v>
      </c>
      <c r="I131">
        <f aca="true" t="shared" si="8" ref="I131:I194">+A131</f>
        <v>612</v>
      </c>
      <c r="J131" t="str">
        <f aca="true" t="shared" si="9" ref="J131:J194">+B131</f>
        <v>Water</v>
      </c>
      <c r="K131">
        <f aca="true" t="shared" si="10" ref="K131:K194">+C131</f>
        <v>24000</v>
      </c>
      <c r="M131">
        <f>VLOOKUP(A131,'Cross ref Tab'!A:E,3,FALSE)</f>
        <v>1520</v>
      </c>
      <c r="S131">
        <f aca="true" t="shared" si="11" ref="S131:S194">+C131</f>
        <v>24000</v>
      </c>
    </row>
    <row r="132" spans="1:19" ht="12.75">
      <c r="A132" s="251">
        <v>613</v>
      </c>
      <c r="B132" s="251" t="s">
        <v>224</v>
      </c>
      <c r="C132" s="251">
        <v>135000</v>
      </c>
      <c r="I132">
        <f t="shared" si="8"/>
        <v>613</v>
      </c>
      <c r="J132" t="str">
        <f t="shared" si="9"/>
        <v>Energy</v>
      </c>
      <c r="K132">
        <f t="shared" si="10"/>
        <v>135000</v>
      </c>
      <c r="M132">
        <f>VLOOKUP(A132,'Cross ref Tab'!A:E,3,FALSE)</f>
        <v>1510</v>
      </c>
      <c r="S132">
        <f t="shared" si="11"/>
        <v>135000</v>
      </c>
    </row>
    <row r="133" spans="1:19" ht="12.75">
      <c r="A133" s="251">
        <v>615</v>
      </c>
      <c r="B133" s="251" t="s">
        <v>226</v>
      </c>
      <c r="C133" s="251">
        <v>0</v>
      </c>
      <c r="I133">
        <f t="shared" si="8"/>
        <v>615</v>
      </c>
      <c r="J133" t="str">
        <f t="shared" si="9"/>
        <v>Insurance Claims-Costs</v>
      </c>
      <c r="K133">
        <f t="shared" si="10"/>
        <v>0</v>
      </c>
      <c r="M133">
        <f>VLOOKUP(A133,'Cross ref Tab'!A:E,3,FALSE)</f>
        <v>1540</v>
      </c>
      <c r="S133">
        <f t="shared" si="11"/>
        <v>0</v>
      </c>
    </row>
    <row r="134" spans="1:19" ht="12.75">
      <c r="A134" s="251" t="s">
        <v>227</v>
      </c>
      <c r="B134" s="251" t="s">
        <v>228</v>
      </c>
      <c r="C134" s="251">
        <v>0</v>
      </c>
      <c r="I134" t="str">
        <f t="shared" si="8"/>
        <v>615A</v>
      </c>
      <c r="J134" t="str">
        <f t="shared" si="9"/>
        <v>Insurance Claims-Income</v>
      </c>
      <c r="K134">
        <f t="shared" si="10"/>
        <v>0</v>
      </c>
      <c r="M134">
        <f>VLOOKUP(A134,'Cross ref Tab'!A:E,3,FALSE)</f>
        <v>1540</v>
      </c>
      <c r="S134">
        <f t="shared" si="11"/>
        <v>0</v>
      </c>
    </row>
    <row r="135" spans="1:19" ht="12.75">
      <c r="A135" s="251">
        <v>640</v>
      </c>
      <c r="B135" s="251" t="s">
        <v>229</v>
      </c>
      <c r="C135" s="251">
        <v>-35000</v>
      </c>
      <c r="I135">
        <f t="shared" si="8"/>
        <v>640</v>
      </c>
      <c r="J135" t="str">
        <f t="shared" si="9"/>
        <v>Sports Hall Income</v>
      </c>
      <c r="K135">
        <f t="shared" si="10"/>
        <v>-35000</v>
      </c>
      <c r="M135">
        <f>VLOOKUP(A135,'Cross ref Tab'!A:E,3,FALSE)</f>
        <v>5300</v>
      </c>
      <c r="S135">
        <f t="shared" si="11"/>
        <v>-35000</v>
      </c>
    </row>
    <row r="136" spans="1:19" ht="12.75">
      <c r="A136" s="251" t="s">
        <v>230</v>
      </c>
      <c r="B136" s="251" t="s">
        <v>231</v>
      </c>
      <c r="C136" s="251">
        <v>13000</v>
      </c>
      <c r="I136" t="str">
        <f t="shared" si="8"/>
        <v>640A</v>
      </c>
      <c r="J136" t="str">
        <f t="shared" si="9"/>
        <v>Sports Hall Exp</v>
      </c>
      <c r="K136">
        <f t="shared" si="10"/>
        <v>13000</v>
      </c>
      <c r="M136">
        <f>VLOOKUP(A136,'Cross ref Tab'!A:E,3,FALSE)</f>
        <v>3100</v>
      </c>
      <c r="S136">
        <f t="shared" si="11"/>
        <v>13000</v>
      </c>
    </row>
    <row r="137" spans="1:19" ht="12.75">
      <c r="A137" s="251">
        <v>649</v>
      </c>
      <c r="B137" s="251" t="s">
        <v>232</v>
      </c>
      <c r="C137" s="251">
        <v>0</v>
      </c>
      <c r="I137">
        <f t="shared" si="8"/>
        <v>649</v>
      </c>
      <c r="J137" t="str">
        <f t="shared" si="9"/>
        <v>Bwt Forward-Capital</v>
      </c>
      <c r="K137">
        <f t="shared" si="10"/>
        <v>0</v>
      </c>
      <c r="M137">
        <f>VLOOKUP(A137,'Cross ref Tab'!A:E,3,FALSE)</f>
        <v>6200</v>
      </c>
      <c r="S137">
        <f t="shared" si="11"/>
        <v>0</v>
      </c>
    </row>
    <row r="138" spans="1:19" ht="12.75">
      <c r="A138" s="251">
        <v>650</v>
      </c>
      <c r="B138" s="251" t="s">
        <v>233</v>
      </c>
      <c r="C138" s="251">
        <v>0</v>
      </c>
      <c r="I138">
        <f t="shared" si="8"/>
        <v>650</v>
      </c>
      <c r="J138" t="str">
        <f t="shared" si="9"/>
        <v>S106 Build Exp</v>
      </c>
      <c r="K138">
        <f t="shared" si="10"/>
        <v>0</v>
      </c>
      <c r="M138">
        <f>VLOOKUP(A138,'Cross ref Tab'!A:E,3,FALSE)</f>
        <v>9100</v>
      </c>
      <c r="S138">
        <f t="shared" si="11"/>
        <v>0</v>
      </c>
    </row>
    <row r="139" spans="1:19" ht="12.75">
      <c r="A139" s="251">
        <v>651</v>
      </c>
      <c r="B139" s="251" t="s">
        <v>525</v>
      </c>
      <c r="C139" s="251">
        <v>0</v>
      </c>
      <c r="I139">
        <f t="shared" si="8"/>
        <v>651</v>
      </c>
      <c r="J139" t="str">
        <f t="shared" si="9"/>
        <v>EFA Capital Maint-Roofing-Exp</v>
      </c>
      <c r="K139">
        <f t="shared" si="10"/>
        <v>0</v>
      </c>
      <c r="M139">
        <f>VLOOKUP(A139,'Cross ref Tab'!A:E,3,FALSE)</f>
        <v>9100</v>
      </c>
      <c r="S139">
        <f t="shared" si="11"/>
        <v>0</v>
      </c>
    </row>
    <row r="140" spans="1:19" ht="12.75">
      <c r="A140" s="251">
        <v>654</v>
      </c>
      <c r="B140" s="251" t="s">
        <v>700</v>
      </c>
      <c r="C140" s="251">
        <v>789570</v>
      </c>
      <c r="I140">
        <f t="shared" si="8"/>
        <v>654</v>
      </c>
      <c r="J140" t="str">
        <f t="shared" si="9"/>
        <v>EFA Windows 2015 Exp</v>
      </c>
      <c r="K140">
        <f t="shared" si="10"/>
        <v>789570</v>
      </c>
      <c r="M140">
        <f>VLOOKUP(A140,'Cross ref Tab'!A:E,3,FALSE)</f>
        <v>9100</v>
      </c>
      <c r="S140">
        <f t="shared" si="11"/>
        <v>789570</v>
      </c>
    </row>
    <row r="141" spans="1:19" ht="12.75">
      <c r="A141" s="251">
        <v>656</v>
      </c>
      <c r="B141" s="251" t="s">
        <v>614</v>
      </c>
      <c r="C141" s="251">
        <v>0</v>
      </c>
      <c r="I141">
        <f t="shared" si="8"/>
        <v>656</v>
      </c>
      <c r="J141" t="str">
        <f t="shared" si="9"/>
        <v>EFA-Capital Maint-Pipes 2014-Exp</v>
      </c>
      <c r="K141">
        <f t="shared" si="10"/>
        <v>0</v>
      </c>
      <c r="M141">
        <f>VLOOKUP(A141,'Cross ref Tab'!A:E,3,FALSE)</f>
        <v>9100</v>
      </c>
      <c r="S141">
        <f t="shared" si="11"/>
        <v>0</v>
      </c>
    </row>
    <row r="142" spans="1:19" ht="12.75">
      <c r="A142" s="251">
        <v>670</v>
      </c>
      <c r="B142" s="251" t="s">
        <v>569</v>
      </c>
      <c r="C142" s="251">
        <v>0</v>
      </c>
      <c r="I142">
        <f t="shared" si="8"/>
        <v>670</v>
      </c>
      <c r="J142" t="str">
        <f t="shared" si="9"/>
        <v>Summer Works 2013</v>
      </c>
      <c r="K142">
        <f t="shared" si="10"/>
        <v>0</v>
      </c>
      <c r="M142">
        <f>VLOOKUP(A142,'Cross ref Tab'!A:E,3,FALSE)</f>
        <v>9900</v>
      </c>
      <c r="S142">
        <f t="shared" si="11"/>
        <v>0</v>
      </c>
    </row>
    <row r="143" spans="1:19" ht="12.75">
      <c r="A143" s="251">
        <v>703</v>
      </c>
      <c r="B143" s="251" t="s">
        <v>599</v>
      </c>
      <c r="C143" s="251">
        <v>0</v>
      </c>
      <c r="I143">
        <f t="shared" si="8"/>
        <v>703</v>
      </c>
      <c r="J143" t="str">
        <f t="shared" si="9"/>
        <v>Year end journals</v>
      </c>
      <c r="K143">
        <f t="shared" si="10"/>
        <v>0</v>
      </c>
      <c r="M143">
        <f>VLOOKUP(A143,'Cross ref Tab'!A:E,3,FALSE)</f>
        <v>4000</v>
      </c>
      <c r="S143">
        <f t="shared" si="11"/>
        <v>0</v>
      </c>
    </row>
    <row r="144" spans="1:19" ht="12.75">
      <c r="A144" s="251" t="s">
        <v>238</v>
      </c>
      <c r="B144" s="251" t="s">
        <v>239</v>
      </c>
      <c r="C144" s="251">
        <v>-60000</v>
      </c>
      <c r="I144" t="str">
        <f t="shared" si="8"/>
        <v>AGP0101</v>
      </c>
      <c r="J144" t="str">
        <f t="shared" si="9"/>
        <v>Artificial Pitch Income</v>
      </c>
      <c r="K144">
        <f t="shared" si="10"/>
        <v>-60000</v>
      </c>
      <c r="M144">
        <f>VLOOKUP(A144,'Cross ref Tab'!A:E,3,FALSE)</f>
        <v>5300</v>
      </c>
      <c r="S144">
        <f t="shared" si="11"/>
        <v>-60000</v>
      </c>
    </row>
    <row r="145" spans="1:19" ht="12.75">
      <c r="A145" s="251" t="s">
        <v>240</v>
      </c>
      <c r="B145" s="251" t="s">
        <v>241</v>
      </c>
      <c r="C145" s="251">
        <v>35000</v>
      </c>
      <c r="I145" t="str">
        <f t="shared" si="8"/>
        <v>AGP0201</v>
      </c>
      <c r="J145" t="str">
        <f t="shared" si="9"/>
        <v>Artificial Pitch Expenditure</v>
      </c>
      <c r="K145">
        <f t="shared" si="10"/>
        <v>35000</v>
      </c>
      <c r="M145">
        <f>VLOOKUP(A145,'Cross ref Tab'!A:E,3,FALSE)</f>
        <v>3000</v>
      </c>
      <c r="S145">
        <f t="shared" si="11"/>
        <v>35000</v>
      </c>
    </row>
    <row r="146" spans="1:19" ht="12.75">
      <c r="A146" s="251" t="s">
        <v>242</v>
      </c>
      <c r="B146" s="251" t="s">
        <v>243</v>
      </c>
      <c r="C146" s="251">
        <v>90000</v>
      </c>
      <c r="I146" t="str">
        <f t="shared" si="8"/>
        <v>AGP0202</v>
      </c>
      <c r="J146" t="str">
        <f t="shared" si="9"/>
        <v>Artifical Pitch Sinking Fund</v>
      </c>
      <c r="K146">
        <f t="shared" si="10"/>
        <v>90000</v>
      </c>
      <c r="M146">
        <f>VLOOKUP(A146,'Cross ref Tab'!A:E,3,FALSE)</f>
        <v>3000</v>
      </c>
      <c r="S146">
        <f t="shared" si="11"/>
        <v>90000</v>
      </c>
    </row>
    <row r="147" spans="1:19" ht="12.75">
      <c r="A147" s="251" t="s">
        <v>244</v>
      </c>
      <c r="B147" s="251" t="s">
        <v>245</v>
      </c>
      <c r="C147" s="251">
        <v>0</v>
      </c>
      <c r="I147" t="str">
        <f t="shared" si="8"/>
        <v>BADDEBT</v>
      </c>
      <c r="J147" t="str">
        <f t="shared" si="9"/>
        <v>Bad Debt-A/C's Receivable</v>
      </c>
      <c r="K147">
        <f t="shared" si="10"/>
        <v>0</v>
      </c>
      <c r="M147">
        <f>VLOOKUP(A147,'Cross ref Tab'!A:E,3,FALSE)</f>
        <v>9900</v>
      </c>
      <c r="S147">
        <f t="shared" si="11"/>
        <v>0</v>
      </c>
    </row>
    <row r="148" spans="1:19" ht="12.75">
      <c r="A148" s="251" t="s">
        <v>248</v>
      </c>
      <c r="B148" s="251" t="s">
        <v>249</v>
      </c>
      <c r="C148" s="251">
        <v>0</v>
      </c>
      <c r="I148" t="str">
        <f t="shared" si="8"/>
        <v>BS410</v>
      </c>
      <c r="J148" t="str">
        <f t="shared" si="9"/>
        <v>BESS-Pilates Course</v>
      </c>
      <c r="K148">
        <f t="shared" si="10"/>
        <v>0</v>
      </c>
      <c r="M148">
        <f>VLOOKUP(A148,'Cross ref Tab'!A:E,3,FALSE)</f>
        <v>2200</v>
      </c>
      <c r="S148">
        <f t="shared" si="11"/>
        <v>0</v>
      </c>
    </row>
    <row r="149" spans="1:19" ht="12.75">
      <c r="A149" s="251" t="s">
        <v>250</v>
      </c>
      <c r="B149" s="251" t="s">
        <v>251</v>
      </c>
      <c r="C149" s="251">
        <v>0</v>
      </c>
      <c r="I149" t="str">
        <f t="shared" si="8"/>
        <v>BS414</v>
      </c>
      <c r="J149" t="str">
        <f t="shared" si="9"/>
        <v>BESS-Yoga Course</v>
      </c>
      <c r="K149">
        <f t="shared" si="10"/>
        <v>0</v>
      </c>
      <c r="M149">
        <f>VLOOKUP(A149,'Cross ref Tab'!A:E,3,FALSE)</f>
        <v>2200</v>
      </c>
      <c r="S149">
        <f t="shared" si="11"/>
        <v>0</v>
      </c>
    </row>
    <row r="150" spans="1:19" ht="12.75">
      <c r="A150" s="251" t="s">
        <v>252</v>
      </c>
      <c r="B150" s="251" t="s">
        <v>253</v>
      </c>
      <c r="C150" s="251">
        <v>0</v>
      </c>
      <c r="I150" t="str">
        <f t="shared" si="8"/>
        <v>GTP204</v>
      </c>
      <c r="J150" t="str">
        <f t="shared" si="9"/>
        <v>GTP Salaries-Exp</v>
      </c>
      <c r="K150">
        <f t="shared" si="10"/>
        <v>0</v>
      </c>
      <c r="M150">
        <f>VLOOKUP(A150,'Cross ref Tab'!A:E,3,FALSE)</f>
        <v>1250</v>
      </c>
      <c r="S150">
        <f t="shared" si="11"/>
        <v>0</v>
      </c>
    </row>
    <row r="151" spans="1:19" ht="12.75">
      <c r="A151" s="251" t="s">
        <v>254</v>
      </c>
      <c r="B151" s="251" t="s">
        <v>255</v>
      </c>
      <c r="C151" s="251">
        <v>0</v>
      </c>
      <c r="I151" t="str">
        <f t="shared" si="8"/>
        <v>GTP205</v>
      </c>
      <c r="J151" t="str">
        <f t="shared" si="9"/>
        <v>GTP-Income-Staff Salarie</v>
      </c>
      <c r="K151">
        <f t="shared" si="10"/>
        <v>0</v>
      </c>
      <c r="M151">
        <f>VLOOKUP(A151,'Cross ref Tab'!A:E,3,FALSE)</f>
        <v>5300</v>
      </c>
      <c r="S151">
        <f t="shared" si="11"/>
        <v>0</v>
      </c>
    </row>
    <row r="152" spans="1:19" ht="12.75">
      <c r="A152" s="251" t="s">
        <v>256</v>
      </c>
      <c r="B152" s="251" t="s">
        <v>257</v>
      </c>
      <c r="C152" s="251">
        <v>0</v>
      </c>
      <c r="I152" t="str">
        <f t="shared" si="8"/>
        <v>GTP207</v>
      </c>
      <c r="J152" t="str">
        <f t="shared" si="9"/>
        <v>GTP-Income-Accomodation/Admin</v>
      </c>
      <c r="K152">
        <f t="shared" si="10"/>
        <v>0</v>
      </c>
      <c r="M152">
        <f>VLOOKUP(A152,'Cross ref Tab'!A:E,3,FALSE)</f>
        <v>5300</v>
      </c>
      <c r="S152">
        <f t="shared" si="11"/>
        <v>0</v>
      </c>
    </row>
    <row r="153" spans="1:19" ht="12.75">
      <c r="A153" s="251" t="s">
        <v>262</v>
      </c>
      <c r="B153" s="251" t="s">
        <v>263</v>
      </c>
      <c r="C153" s="251">
        <v>0</v>
      </c>
      <c r="I153" t="str">
        <f t="shared" si="8"/>
        <v>SCT201</v>
      </c>
      <c r="J153" t="str">
        <f t="shared" si="9"/>
        <v>SCITT Accom/Admin Inc</v>
      </c>
      <c r="K153">
        <f t="shared" si="10"/>
        <v>0</v>
      </c>
      <c r="M153">
        <f>VLOOKUP(A153,'Cross ref Tab'!A:E,3,FALSE)</f>
        <v>5300</v>
      </c>
      <c r="S153">
        <f t="shared" si="11"/>
        <v>0</v>
      </c>
    </row>
    <row r="154" spans="1:19" ht="12.75">
      <c r="A154" s="251" t="s">
        <v>264</v>
      </c>
      <c r="B154" s="251" t="s">
        <v>583</v>
      </c>
      <c r="C154" s="251">
        <v>0</v>
      </c>
      <c r="I154" t="str">
        <f t="shared" si="8"/>
        <v>SCT202</v>
      </c>
      <c r="J154" t="str">
        <f t="shared" si="9"/>
        <v>SCITT/Trainee Salaries Inc</v>
      </c>
      <c r="K154">
        <f t="shared" si="10"/>
        <v>0</v>
      </c>
      <c r="M154">
        <f>VLOOKUP(A154,'Cross ref Tab'!A:E,3,FALSE)</f>
        <v>5300</v>
      </c>
      <c r="S154">
        <f t="shared" si="11"/>
        <v>0</v>
      </c>
    </row>
    <row r="155" spans="1:19" ht="12.75">
      <c r="A155" s="251" t="s">
        <v>266</v>
      </c>
      <c r="B155" s="251" t="s">
        <v>267</v>
      </c>
      <c r="C155" s="251">
        <v>0</v>
      </c>
      <c r="I155" t="str">
        <f t="shared" si="8"/>
        <v>SCT203</v>
      </c>
      <c r="J155" t="str">
        <f t="shared" si="9"/>
        <v>SCITT Salaries-Income</v>
      </c>
      <c r="K155">
        <f t="shared" si="10"/>
        <v>0</v>
      </c>
      <c r="M155">
        <f>VLOOKUP(A155,'Cross ref Tab'!A:E,3,FALSE)</f>
        <v>5300</v>
      </c>
      <c r="S155">
        <f t="shared" si="11"/>
        <v>0</v>
      </c>
    </row>
    <row r="156" spans="1:19" ht="12.75">
      <c r="A156" s="251" t="s">
        <v>268</v>
      </c>
      <c r="B156" s="251" t="s">
        <v>269</v>
      </c>
      <c r="C156" s="251">
        <v>0</v>
      </c>
      <c r="I156" t="str">
        <f t="shared" si="8"/>
        <v>SCT204</v>
      </c>
      <c r="J156" t="str">
        <f t="shared" si="9"/>
        <v>SCITT Trv Exps/Repro</v>
      </c>
      <c r="K156">
        <f t="shared" si="10"/>
        <v>0</v>
      </c>
      <c r="M156">
        <f>VLOOKUP(A156,'Cross ref Tab'!A:E,3,FALSE)</f>
        <v>1250</v>
      </c>
      <c r="S156">
        <f t="shared" si="11"/>
        <v>0</v>
      </c>
    </row>
    <row r="157" spans="1:19" ht="12.75">
      <c r="A157" s="251" t="s">
        <v>270</v>
      </c>
      <c r="B157" s="251" t="s">
        <v>271</v>
      </c>
      <c r="C157" s="251">
        <v>0</v>
      </c>
      <c r="I157" t="str">
        <f t="shared" si="8"/>
        <v>SCT205</v>
      </c>
      <c r="J157" t="str">
        <f t="shared" si="9"/>
        <v>SCITT Salaries-Ex</v>
      </c>
      <c r="K157">
        <f t="shared" si="10"/>
        <v>0</v>
      </c>
      <c r="M157">
        <f>VLOOKUP(A157,'Cross ref Tab'!A:E,3,FALSE)</f>
        <v>1250</v>
      </c>
      <c r="S157">
        <f t="shared" si="11"/>
        <v>0</v>
      </c>
    </row>
    <row r="158" spans="1:19" ht="12.75">
      <c r="A158" s="251" t="s">
        <v>278</v>
      </c>
      <c r="B158" s="251" t="s">
        <v>279</v>
      </c>
      <c r="C158" s="251">
        <v>2000</v>
      </c>
      <c r="I158" t="str">
        <f t="shared" si="8"/>
        <v>SFLAC</v>
      </c>
      <c r="J158" t="str">
        <f t="shared" si="9"/>
        <v>SF-Looked After Children</v>
      </c>
      <c r="K158">
        <f t="shared" si="10"/>
        <v>2000</v>
      </c>
      <c r="M158">
        <f>VLOOKUP(A158,'Cross ref Tab'!A:E,3,FALSE)</f>
        <v>5300</v>
      </c>
      <c r="S158">
        <f t="shared" si="11"/>
        <v>2000</v>
      </c>
    </row>
    <row r="159" spans="1:19" ht="12.75">
      <c r="A159" s="251" t="s">
        <v>282</v>
      </c>
      <c r="B159" s="251" t="s">
        <v>283</v>
      </c>
      <c r="C159" s="251">
        <v>0</v>
      </c>
      <c r="I159" t="str">
        <f t="shared" si="8"/>
        <v>SG102</v>
      </c>
      <c r="J159" t="str">
        <f t="shared" si="9"/>
        <v>Sportivate Income</v>
      </c>
      <c r="K159">
        <f t="shared" si="10"/>
        <v>0</v>
      </c>
      <c r="M159">
        <f>VLOOKUP(A159,'Cross ref Tab'!A:E,3,FALSE)</f>
        <v>5300</v>
      </c>
      <c r="S159">
        <f t="shared" si="11"/>
        <v>0</v>
      </c>
    </row>
    <row r="160" spans="1:19" ht="12.75">
      <c r="A160" s="251" t="s">
        <v>284</v>
      </c>
      <c r="B160" s="251" t="s">
        <v>701</v>
      </c>
      <c r="C160" s="251">
        <v>4500</v>
      </c>
      <c r="I160" t="str">
        <f t="shared" si="8"/>
        <v>SG150</v>
      </c>
      <c r="J160" t="str">
        <f t="shared" si="9"/>
        <v>School Games</v>
      </c>
      <c r="K160">
        <f t="shared" si="10"/>
        <v>4500</v>
      </c>
      <c r="M160">
        <f>VLOOKUP(A160,'Cross ref Tab'!A:E,3,FALSE)</f>
        <v>1650</v>
      </c>
      <c r="S160">
        <f t="shared" si="11"/>
        <v>4500</v>
      </c>
    </row>
    <row r="161" spans="1:19" ht="12.75">
      <c r="A161" s="251" t="s">
        <v>286</v>
      </c>
      <c r="B161" s="251" t="s">
        <v>702</v>
      </c>
      <c r="C161" s="251">
        <v>-13800</v>
      </c>
      <c r="I161" t="str">
        <f t="shared" si="8"/>
        <v>SG150A</v>
      </c>
      <c r="J161" t="str">
        <f t="shared" si="9"/>
        <v>SGO Salary Income</v>
      </c>
      <c r="K161">
        <f t="shared" si="10"/>
        <v>-13800</v>
      </c>
      <c r="M161">
        <f>VLOOKUP(A161,'Cross ref Tab'!A:E,3,FALSE)</f>
        <v>5300</v>
      </c>
      <c r="S161">
        <f t="shared" si="11"/>
        <v>-13800</v>
      </c>
    </row>
    <row r="162" spans="1:19" ht="12.75">
      <c r="A162" s="251" t="s">
        <v>288</v>
      </c>
      <c r="B162" s="251" t="s">
        <v>289</v>
      </c>
      <c r="C162" s="251">
        <v>1133</v>
      </c>
      <c r="I162" t="str">
        <f t="shared" si="8"/>
        <v>SG151</v>
      </c>
      <c r="J162" t="str">
        <f t="shared" si="9"/>
        <v>Sportivate Expenditure</v>
      </c>
      <c r="K162">
        <f t="shared" si="10"/>
        <v>1133</v>
      </c>
      <c r="M162">
        <f>VLOOKUP(A162,'Cross ref Tab'!A:E,3,FALSE)</f>
        <v>1650</v>
      </c>
      <c r="S162">
        <f t="shared" si="11"/>
        <v>1133</v>
      </c>
    </row>
    <row r="163" spans="1:19" ht="12.75">
      <c r="A163" s="251" t="s">
        <v>290</v>
      </c>
      <c r="B163" s="251" t="s">
        <v>643</v>
      </c>
      <c r="C163" s="251">
        <v>0</v>
      </c>
      <c r="I163" t="str">
        <f t="shared" si="8"/>
        <v>SG152</v>
      </c>
      <c r="J163" t="str">
        <f t="shared" si="9"/>
        <v>School GSLA</v>
      </c>
      <c r="K163">
        <f t="shared" si="10"/>
        <v>0</v>
      </c>
      <c r="M163">
        <f>VLOOKUP(A163,'Cross ref Tab'!A:E,3,FALSE)</f>
        <v>1650</v>
      </c>
      <c r="S163">
        <f t="shared" si="11"/>
        <v>0</v>
      </c>
    </row>
    <row r="164" spans="1:19" ht="12.75">
      <c r="A164" s="251" t="s">
        <v>292</v>
      </c>
      <c r="B164" s="251" t="s">
        <v>293</v>
      </c>
      <c r="C164" s="251">
        <v>0</v>
      </c>
      <c r="I164" t="str">
        <f t="shared" si="8"/>
        <v>SG152A</v>
      </c>
      <c r="J164" t="str">
        <f t="shared" si="9"/>
        <v>School Games-SLA Income</v>
      </c>
      <c r="K164">
        <f t="shared" si="10"/>
        <v>0</v>
      </c>
      <c r="M164">
        <f>VLOOKUP(A164,'Cross ref Tab'!A:E,3,FALSE)</f>
        <v>5300</v>
      </c>
      <c r="S164">
        <f t="shared" si="11"/>
        <v>0</v>
      </c>
    </row>
    <row r="165" spans="1:19" ht="12.75">
      <c r="A165" s="251" t="s">
        <v>584</v>
      </c>
      <c r="B165" s="251" t="s">
        <v>585</v>
      </c>
      <c r="C165" s="251">
        <v>0</v>
      </c>
      <c r="I165" t="str">
        <f t="shared" si="8"/>
        <v>TR901</v>
      </c>
      <c r="J165" t="str">
        <f t="shared" si="9"/>
        <v>Science Revision Guide/Workbook</v>
      </c>
      <c r="K165">
        <f t="shared" si="10"/>
        <v>0</v>
      </c>
      <c r="M165">
        <f>VLOOKUP(A165,'Cross ref Tab'!A:E,3,FALSE)</f>
        <v>4000</v>
      </c>
      <c r="S165">
        <f t="shared" si="11"/>
        <v>0</v>
      </c>
    </row>
    <row r="166" spans="1:19" ht="12.75">
      <c r="A166" s="251" t="s">
        <v>586</v>
      </c>
      <c r="B166" s="251" t="s">
        <v>587</v>
      </c>
      <c r="C166" s="251">
        <v>0</v>
      </c>
      <c r="I166" t="str">
        <f t="shared" si="8"/>
        <v>TR902</v>
      </c>
      <c r="J166" t="str">
        <f t="shared" si="9"/>
        <v>Science Revision Guide Workbook</v>
      </c>
      <c r="K166">
        <f t="shared" si="10"/>
        <v>0</v>
      </c>
      <c r="M166">
        <f>VLOOKUP(A166,'Cross ref Tab'!A:E,3,FALSE)</f>
        <v>4000</v>
      </c>
      <c r="S166">
        <f t="shared" si="11"/>
        <v>0</v>
      </c>
    </row>
    <row r="167" spans="1:19" ht="12.75">
      <c r="A167" s="251" t="s">
        <v>600</v>
      </c>
      <c r="B167" s="251" t="s">
        <v>601</v>
      </c>
      <c r="C167" s="251">
        <v>0</v>
      </c>
      <c r="I167" t="str">
        <f t="shared" si="8"/>
        <v>TR903</v>
      </c>
      <c r="J167" t="str">
        <f t="shared" si="9"/>
        <v>Ski Trip 2015</v>
      </c>
      <c r="K167">
        <f t="shared" si="10"/>
        <v>0</v>
      </c>
      <c r="M167">
        <f>VLOOKUP(A167,'Cross ref Tab'!A:E,3,FALSE)</f>
        <v>4000</v>
      </c>
      <c r="S167">
        <f t="shared" si="11"/>
        <v>0</v>
      </c>
    </row>
    <row r="168" spans="1:19" ht="12.75">
      <c r="A168" s="251" t="s">
        <v>588</v>
      </c>
      <c r="B168" s="251" t="s">
        <v>703</v>
      </c>
      <c r="C168" s="251">
        <v>0</v>
      </c>
      <c r="I168" t="str">
        <f t="shared" si="8"/>
        <v>TR904</v>
      </c>
      <c r="J168" t="str">
        <f t="shared" si="9"/>
        <v>PE Revision Seminar - 18/3/15</v>
      </c>
      <c r="K168">
        <f t="shared" si="10"/>
        <v>0</v>
      </c>
      <c r="M168">
        <f>VLOOKUP(A168,'Cross ref Tab'!A:E,3,FALSE)</f>
        <v>4000</v>
      </c>
      <c r="S168">
        <f t="shared" si="11"/>
        <v>0</v>
      </c>
    </row>
    <row r="169" spans="1:19" ht="12.75">
      <c r="A169" s="251" t="s">
        <v>590</v>
      </c>
      <c r="B169" s="251" t="s">
        <v>704</v>
      </c>
      <c r="C169" s="251">
        <v>0</v>
      </c>
      <c r="I169" t="str">
        <f t="shared" si="8"/>
        <v>TR905</v>
      </c>
      <c r="J169" t="str">
        <f t="shared" si="9"/>
        <v>National Football Final - 6.5.15</v>
      </c>
      <c r="K169">
        <f t="shared" si="10"/>
        <v>0</v>
      </c>
      <c r="M169">
        <f>VLOOKUP(A169,'Cross ref Tab'!A:E,3,FALSE)</f>
        <v>4000</v>
      </c>
      <c r="S169">
        <f t="shared" si="11"/>
        <v>0</v>
      </c>
    </row>
    <row r="170" spans="1:19" ht="12.75">
      <c r="A170" s="251" t="s">
        <v>570</v>
      </c>
      <c r="B170" s="251" t="s">
        <v>571</v>
      </c>
      <c r="C170" s="251">
        <v>0</v>
      </c>
      <c r="I170" t="str">
        <f t="shared" si="8"/>
        <v>TR906</v>
      </c>
      <c r="J170" t="str">
        <f t="shared" si="9"/>
        <v>Science Textbooks</v>
      </c>
      <c r="K170">
        <f t="shared" si="10"/>
        <v>0</v>
      </c>
      <c r="M170">
        <f>VLOOKUP(A170,'Cross ref Tab'!A:E,3,FALSE)</f>
        <v>4000</v>
      </c>
      <c r="S170">
        <f t="shared" si="11"/>
        <v>0</v>
      </c>
    </row>
    <row r="171" spans="1:19" ht="12.75">
      <c r="A171" s="251" t="s">
        <v>296</v>
      </c>
      <c r="B171" s="251" t="s">
        <v>705</v>
      </c>
      <c r="C171" s="251">
        <v>0</v>
      </c>
      <c r="I171" t="str">
        <f t="shared" si="8"/>
        <v>TR907</v>
      </c>
      <c r="J171" t="str">
        <f t="shared" si="9"/>
        <v>San Francisco - October 2015</v>
      </c>
      <c r="K171">
        <f t="shared" si="10"/>
        <v>0</v>
      </c>
      <c r="M171">
        <f>VLOOKUP(A171,'Cross ref Tab'!A:E,3,FALSE)</f>
        <v>4000</v>
      </c>
      <c r="S171">
        <f t="shared" si="11"/>
        <v>0</v>
      </c>
    </row>
    <row r="172" spans="1:19" ht="12.75">
      <c r="A172" s="251" t="s">
        <v>298</v>
      </c>
      <c r="B172" s="251" t="s">
        <v>706</v>
      </c>
      <c r="C172" s="251">
        <v>0</v>
      </c>
      <c r="I172" t="str">
        <f t="shared" si="8"/>
        <v>TR908</v>
      </c>
      <c r="J172" t="str">
        <f t="shared" si="9"/>
        <v>Thro'  Deep Dark Woods-10.12.14</v>
      </c>
      <c r="K172">
        <f t="shared" si="10"/>
        <v>0</v>
      </c>
      <c r="M172">
        <f>VLOOKUP(A172,'Cross ref Tab'!A:E,3,FALSE)</f>
        <v>4000</v>
      </c>
      <c r="S172">
        <f t="shared" si="11"/>
        <v>0</v>
      </c>
    </row>
    <row r="173" spans="1:19" ht="12.75">
      <c r="A173" s="251" t="s">
        <v>602</v>
      </c>
      <c r="B173" s="251" t="s">
        <v>707</v>
      </c>
      <c r="C173" s="251">
        <v>0</v>
      </c>
      <c r="I173" t="str">
        <f t="shared" si="8"/>
        <v>TR909</v>
      </c>
      <c r="J173" t="str">
        <f t="shared" si="9"/>
        <v>Holocaust Talk - 22.1.15</v>
      </c>
      <c r="K173">
        <f t="shared" si="10"/>
        <v>0</v>
      </c>
      <c r="M173">
        <f>VLOOKUP(A173,'Cross ref Tab'!A:E,3,FALSE)</f>
        <v>4000</v>
      </c>
      <c r="S173">
        <f t="shared" si="11"/>
        <v>0</v>
      </c>
    </row>
    <row r="174" spans="1:19" ht="12.75">
      <c r="A174" s="251" t="s">
        <v>300</v>
      </c>
      <c r="B174" s="251" t="s">
        <v>708</v>
      </c>
      <c r="C174" s="251">
        <v>0</v>
      </c>
      <c r="I174" t="str">
        <f t="shared" si="8"/>
        <v>TR910</v>
      </c>
      <c r="J174" t="str">
        <f t="shared" si="9"/>
        <v>Essex Record Office-23.1.15</v>
      </c>
      <c r="K174">
        <f t="shared" si="10"/>
        <v>0</v>
      </c>
      <c r="M174">
        <f>VLOOKUP(A174,'Cross ref Tab'!A:E,3,FALSE)</f>
        <v>4000</v>
      </c>
      <c r="S174">
        <f t="shared" si="11"/>
        <v>0</v>
      </c>
    </row>
    <row r="175" spans="1:19" ht="12.75">
      <c r="A175" s="251" t="s">
        <v>302</v>
      </c>
      <c r="B175" s="251" t="s">
        <v>709</v>
      </c>
      <c r="C175" s="251">
        <v>0</v>
      </c>
      <c r="I175" t="str">
        <f t="shared" si="8"/>
        <v>TR911</v>
      </c>
      <c r="J175" t="str">
        <f t="shared" si="9"/>
        <v>Stubbers -  16.03.15</v>
      </c>
      <c r="K175">
        <f t="shared" si="10"/>
        <v>0</v>
      </c>
      <c r="M175">
        <f>VLOOKUP(A175,'Cross ref Tab'!A:E,3,FALSE)</f>
        <v>4000</v>
      </c>
      <c r="S175">
        <f t="shared" si="11"/>
        <v>0</v>
      </c>
    </row>
    <row r="176" spans="1:19" ht="12.75">
      <c r="A176" s="251" t="s">
        <v>304</v>
      </c>
      <c r="B176" s="251" t="s">
        <v>572</v>
      </c>
      <c r="C176" s="251">
        <v>0</v>
      </c>
      <c r="I176" t="str">
        <f t="shared" si="8"/>
        <v>TR912</v>
      </c>
      <c r="J176" t="str">
        <f t="shared" si="9"/>
        <v>Admin Fee</v>
      </c>
      <c r="K176">
        <f t="shared" si="10"/>
        <v>0</v>
      </c>
      <c r="M176">
        <f>VLOOKUP(A176,'Cross ref Tab'!A:E,3,FALSE)</f>
        <v>4000</v>
      </c>
      <c r="S176">
        <f t="shared" si="11"/>
        <v>0</v>
      </c>
    </row>
    <row r="177" spans="1:19" ht="12.75">
      <c r="A177" s="251" t="s">
        <v>306</v>
      </c>
      <c r="B177" s="251" t="s">
        <v>307</v>
      </c>
      <c r="C177" s="251">
        <v>0</v>
      </c>
      <c r="I177" t="str">
        <f t="shared" si="8"/>
        <v>TR913</v>
      </c>
      <c r="J177" t="str">
        <f t="shared" si="9"/>
        <v>Trip Contingency</v>
      </c>
      <c r="K177">
        <f t="shared" si="10"/>
        <v>0</v>
      </c>
      <c r="M177">
        <f>VLOOKUP(A177,'Cross ref Tab'!A:E,3,FALSE)</f>
        <v>4000</v>
      </c>
      <c r="S177">
        <f t="shared" si="11"/>
        <v>0</v>
      </c>
    </row>
    <row r="178" spans="1:19" ht="12.75">
      <c r="A178" s="251" t="s">
        <v>308</v>
      </c>
      <c r="B178" s="251" t="s">
        <v>309</v>
      </c>
      <c r="C178" s="251">
        <v>0</v>
      </c>
      <c r="I178" t="str">
        <f t="shared" si="8"/>
        <v>TR914</v>
      </c>
      <c r="J178" t="str">
        <f t="shared" si="9"/>
        <v>Trip Balances/Hardship Fund</v>
      </c>
      <c r="K178">
        <f t="shared" si="10"/>
        <v>0</v>
      </c>
      <c r="M178">
        <f>VLOOKUP(A178,'Cross ref Tab'!A:E,3,FALSE)</f>
        <v>4000</v>
      </c>
      <c r="S178">
        <f t="shared" si="11"/>
        <v>0</v>
      </c>
    </row>
    <row r="179" spans="1:19" ht="12.75">
      <c r="A179" s="251" t="s">
        <v>310</v>
      </c>
      <c r="B179" s="251" t="s">
        <v>710</v>
      </c>
      <c r="C179" s="251">
        <v>0</v>
      </c>
      <c r="I179" t="str">
        <f t="shared" si="8"/>
        <v>TR915</v>
      </c>
      <c r="J179" t="str">
        <f t="shared" si="9"/>
        <v>Ski Trip 2016</v>
      </c>
      <c r="K179">
        <f t="shared" si="10"/>
        <v>0</v>
      </c>
      <c r="M179">
        <f>VLOOKUP(A179,'Cross ref Tab'!A:E,3,FALSE)</f>
        <v>4000</v>
      </c>
      <c r="S179">
        <f t="shared" si="11"/>
        <v>0</v>
      </c>
    </row>
    <row r="180" spans="1:19" ht="12.75">
      <c r="A180" s="251" t="s">
        <v>312</v>
      </c>
      <c r="B180" s="251" t="s">
        <v>313</v>
      </c>
      <c r="C180" s="251">
        <v>1708</v>
      </c>
      <c r="I180" t="str">
        <f t="shared" si="8"/>
        <v>TR916</v>
      </c>
      <c r="J180" t="str">
        <f t="shared" si="9"/>
        <v>Summer Camp</v>
      </c>
      <c r="K180">
        <f t="shared" si="10"/>
        <v>1708</v>
      </c>
      <c r="M180">
        <f>VLOOKUP(A180,'Cross ref Tab'!A:E,3,FALSE)</f>
        <v>4000</v>
      </c>
      <c r="S180">
        <f t="shared" si="11"/>
        <v>1708</v>
      </c>
    </row>
    <row r="181" spans="1:19" ht="12.75">
      <c r="A181" s="251" t="s">
        <v>314</v>
      </c>
      <c r="B181" s="251" t="s">
        <v>711</v>
      </c>
      <c r="C181" s="251">
        <v>0</v>
      </c>
      <c r="I181" t="str">
        <f t="shared" si="8"/>
        <v>TR917</v>
      </c>
      <c r="J181" t="str">
        <f t="shared" si="9"/>
        <v>Les Miserables  30th April 2015</v>
      </c>
      <c r="K181">
        <f t="shared" si="10"/>
        <v>0</v>
      </c>
      <c r="M181">
        <f>VLOOKUP(A181,'Cross ref Tab'!A:E,3,FALSE)</f>
        <v>4000</v>
      </c>
      <c r="S181">
        <f t="shared" si="11"/>
        <v>0</v>
      </c>
    </row>
    <row r="182" spans="1:19" ht="12.75">
      <c r="A182" s="251" t="s">
        <v>604</v>
      </c>
      <c r="B182" s="251" t="s">
        <v>615</v>
      </c>
      <c r="C182" s="251">
        <v>0</v>
      </c>
      <c r="I182" t="str">
        <f t="shared" si="8"/>
        <v>TR918</v>
      </c>
      <c r="J182" t="str">
        <f t="shared" si="9"/>
        <v>Cape Town Tour - Feb.'15</v>
      </c>
      <c r="K182">
        <f t="shared" si="10"/>
        <v>0</v>
      </c>
      <c r="M182">
        <f>VLOOKUP(A182,'Cross ref Tab'!A:E,3,FALSE)</f>
        <v>4000</v>
      </c>
      <c r="S182">
        <f t="shared" si="11"/>
        <v>0</v>
      </c>
    </row>
    <row r="183" spans="1:19" ht="12.75">
      <c r="A183" s="251" t="s">
        <v>316</v>
      </c>
      <c r="B183" s="251" t="s">
        <v>712</v>
      </c>
      <c r="C183" s="251">
        <v>0</v>
      </c>
      <c r="I183" t="str">
        <f t="shared" si="8"/>
        <v>TR919</v>
      </c>
      <c r="J183" t="str">
        <f t="shared" si="9"/>
        <v>Lake Garda Music Tour 2016</v>
      </c>
      <c r="K183">
        <f t="shared" si="10"/>
        <v>0</v>
      </c>
      <c r="M183">
        <f>VLOOKUP(A183,'Cross ref Tab'!A:E,3,FALSE)</f>
        <v>4000</v>
      </c>
      <c r="S183">
        <f t="shared" si="11"/>
        <v>0</v>
      </c>
    </row>
    <row r="184" spans="1:19" ht="12.75">
      <c r="A184" s="251" t="s">
        <v>318</v>
      </c>
      <c r="B184" s="251" t="s">
        <v>713</v>
      </c>
      <c r="C184" s="251">
        <v>0</v>
      </c>
      <c r="I184" t="str">
        <f t="shared" si="8"/>
        <v>TR920</v>
      </c>
      <c r="J184" t="str">
        <f t="shared" si="9"/>
        <v>Aladdin - 10.12.15</v>
      </c>
      <c r="K184">
        <f t="shared" si="10"/>
        <v>0</v>
      </c>
      <c r="M184">
        <f>VLOOKUP(A184,'Cross ref Tab'!A:E,3,FALSE)</f>
        <v>4000</v>
      </c>
      <c r="S184">
        <f t="shared" si="11"/>
        <v>0</v>
      </c>
    </row>
    <row r="185" spans="1:19" ht="12.75">
      <c r="A185" s="251" t="s">
        <v>606</v>
      </c>
      <c r="B185" s="251" t="s">
        <v>714</v>
      </c>
      <c r="C185" s="251">
        <v>0</v>
      </c>
      <c r="I185" t="str">
        <f t="shared" si="8"/>
        <v>TR921</v>
      </c>
      <c r="J185" t="str">
        <f t="shared" si="9"/>
        <v>Our Country's Good - 8.9.15</v>
      </c>
      <c r="K185">
        <f t="shared" si="10"/>
        <v>0</v>
      </c>
      <c r="M185">
        <f>VLOOKUP(A185,'Cross ref Tab'!A:E,3,FALSE)</f>
        <v>4000</v>
      </c>
      <c r="S185">
        <f t="shared" si="11"/>
        <v>0</v>
      </c>
    </row>
    <row r="186" spans="1:19" ht="12.75">
      <c r="A186" s="251" t="s">
        <v>320</v>
      </c>
      <c r="B186" s="251" t="s">
        <v>715</v>
      </c>
      <c r="C186" s="251">
        <v>0</v>
      </c>
      <c r="I186" t="str">
        <f t="shared" si="8"/>
        <v>TR922</v>
      </c>
      <c r="J186" t="str">
        <f t="shared" si="9"/>
        <v>Hog Roast - 10.07.15</v>
      </c>
      <c r="K186">
        <f t="shared" si="10"/>
        <v>0</v>
      </c>
      <c r="M186">
        <f>VLOOKUP(A186,'Cross ref Tab'!A:E,3,FALSE)</f>
        <v>4000</v>
      </c>
      <c r="S186">
        <f t="shared" si="11"/>
        <v>0</v>
      </c>
    </row>
    <row r="187" spans="1:19" ht="12.75">
      <c r="A187" s="251" t="s">
        <v>608</v>
      </c>
      <c r="B187" s="251" t="s">
        <v>609</v>
      </c>
      <c r="C187" s="251">
        <v>0</v>
      </c>
      <c r="I187" t="str">
        <f t="shared" si="8"/>
        <v>TR923</v>
      </c>
      <c r="J187" t="str">
        <f t="shared" si="9"/>
        <v>New York - October 2014</v>
      </c>
      <c r="K187">
        <f t="shared" si="10"/>
        <v>0</v>
      </c>
      <c r="M187">
        <f>VLOOKUP(A187,'Cross ref Tab'!A:E,3,FALSE)</f>
        <v>4000</v>
      </c>
      <c r="S187">
        <f t="shared" si="11"/>
        <v>0</v>
      </c>
    </row>
    <row r="188" spans="1:19" ht="12.75">
      <c r="A188" s="251" t="s">
        <v>610</v>
      </c>
      <c r="B188" s="251" t="s">
        <v>716</v>
      </c>
      <c r="C188" s="251">
        <v>0</v>
      </c>
      <c r="I188" t="str">
        <f t="shared" si="8"/>
        <v>TR924</v>
      </c>
      <c r="J188" t="str">
        <f t="shared" si="9"/>
        <v>Colchester Zoo - Biology 11.3.15</v>
      </c>
      <c r="K188">
        <f t="shared" si="10"/>
        <v>0</v>
      </c>
      <c r="M188">
        <f>VLOOKUP(A188,'Cross ref Tab'!A:E,3,FALSE)</f>
        <v>4000</v>
      </c>
      <c r="S188">
        <f t="shared" si="11"/>
        <v>0</v>
      </c>
    </row>
    <row r="189" spans="1:19" ht="12.75">
      <c r="A189" s="251" t="s">
        <v>616</v>
      </c>
      <c r="B189" s="251" t="s">
        <v>717</v>
      </c>
      <c r="C189" s="251">
        <v>0</v>
      </c>
      <c r="I189" t="str">
        <f t="shared" si="8"/>
        <v>TR925</v>
      </c>
      <c r="J189" t="str">
        <f t="shared" si="9"/>
        <v>NAT'L HISTORY MUSEUM 14/07/15</v>
      </c>
      <c r="K189">
        <f t="shared" si="10"/>
        <v>0</v>
      </c>
      <c r="M189">
        <f>VLOOKUP(A189,'Cross ref Tab'!A:E,3,FALSE)</f>
        <v>4000</v>
      </c>
      <c r="S189">
        <f t="shared" si="11"/>
        <v>0</v>
      </c>
    </row>
    <row r="190" spans="1:19" ht="12.75">
      <c r="A190" s="251" t="s">
        <v>322</v>
      </c>
      <c r="B190" s="251" t="s">
        <v>718</v>
      </c>
      <c r="C190" s="251">
        <v>0</v>
      </c>
      <c r="I190" t="str">
        <f t="shared" si="8"/>
        <v>TR926</v>
      </c>
      <c r="J190" t="str">
        <f t="shared" si="9"/>
        <v>The Lion King - 13.5.15</v>
      </c>
      <c r="K190">
        <f t="shared" si="10"/>
        <v>0</v>
      </c>
      <c r="M190">
        <f>VLOOKUP(A190,'Cross ref Tab'!A:E,3,FALSE)</f>
        <v>4000</v>
      </c>
      <c r="S190">
        <f t="shared" si="11"/>
        <v>0</v>
      </c>
    </row>
    <row r="191" spans="1:19" ht="12.75">
      <c r="A191" s="251" t="s">
        <v>324</v>
      </c>
      <c r="B191" s="251" t="s">
        <v>719</v>
      </c>
      <c r="C191" s="251">
        <v>0</v>
      </c>
      <c r="I191" t="str">
        <f t="shared" si="8"/>
        <v>TR927</v>
      </c>
      <c r="J191" t="str">
        <f t="shared" si="9"/>
        <v>Stubbers Adv.Cent. - 22-24/06/16</v>
      </c>
      <c r="K191">
        <f t="shared" si="10"/>
        <v>0</v>
      </c>
      <c r="M191">
        <f>VLOOKUP(A191,'Cross ref Tab'!A:E,3,FALSE)</f>
        <v>4000</v>
      </c>
      <c r="S191">
        <f t="shared" si="11"/>
        <v>0</v>
      </c>
    </row>
    <row r="192" spans="1:19" ht="12.75">
      <c r="A192" s="251" t="s">
        <v>592</v>
      </c>
      <c r="B192" s="251" t="s">
        <v>593</v>
      </c>
      <c r="C192" s="251">
        <v>0</v>
      </c>
      <c r="I192" t="str">
        <f t="shared" si="8"/>
        <v>TR928</v>
      </c>
      <c r="J192" t="str">
        <f t="shared" si="9"/>
        <v>Science Revision Guide &amp; Workboo</v>
      </c>
      <c r="K192">
        <f t="shared" si="10"/>
        <v>0</v>
      </c>
      <c r="M192">
        <f>VLOOKUP(A192,'Cross ref Tab'!A:E,3,FALSE)</f>
        <v>4000</v>
      </c>
      <c r="S192">
        <f t="shared" si="11"/>
        <v>0</v>
      </c>
    </row>
    <row r="193" spans="1:19" ht="12.75">
      <c r="A193" s="251" t="s">
        <v>326</v>
      </c>
      <c r="B193" s="251" t="s">
        <v>720</v>
      </c>
      <c r="C193" s="251">
        <v>0</v>
      </c>
      <c r="I193" t="str">
        <f t="shared" si="8"/>
        <v>TR929</v>
      </c>
      <c r="J193" t="str">
        <f t="shared" si="9"/>
        <v>Loughborough Uni. 25.11.14</v>
      </c>
      <c r="K193">
        <f t="shared" si="10"/>
        <v>0</v>
      </c>
      <c r="M193">
        <f>VLOOKUP(A193,'Cross ref Tab'!A:E,3,FALSE)</f>
        <v>4000</v>
      </c>
      <c r="S193">
        <f t="shared" si="11"/>
        <v>0</v>
      </c>
    </row>
    <row r="194" spans="1:19" ht="12.75">
      <c r="A194" s="251" t="s">
        <v>328</v>
      </c>
      <c r="B194" s="251" t="s">
        <v>644</v>
      </c>
      <c r="C194" s="251">
        <v>0</v>
      </c>
      <c r="I194" t="str">
        <f t="shared" si="8"/>
        <v>TR930</v>
      </c>
      <c r="J194" t="str">
        <f t="shared" si="9"/>
        <v>Slapton-Geography 8/13 Feb 2015</v>
      </c>
      <c r="K194">
        <f t="shared" si="10"/>
        <v>0</v>
      </c>
      <c r="M194">
        <f>VLOOKUP(A194,'Cross ref Tab'!A:E,3,FALSE)</f>
        <v>4000</v>
      </c>
      <c r="S194">
        <f t="shared" si="11"/>
        <v>0</v>
      </c>
    </row>
    <row r="195" spans="1:19" ht="12.75">
      <c r="A195" s="251" t="s">
        <v>618</v>
      </c>
      <c r="B195" s="251" t="s">
        <v>721</v>
      </c>
      <c r="C195" s="251">
        <v>0</v>
      </c>
      <c r="I195" t="str">
        <f aca="true" t="shared" si="12" ref="I195:I232">+A195</f>
        <v>TR931</v>
      </c>
      <c r="J195" t="str">
        <f aca="true" t="shared" si="13" ref="J195:J232">+B195</f>
        <v>Tate Britain - 11.3.15</v>
      </c>
      <c r="K195">
        <f aca="true" t="shared" si="14" ref="K195:K232">+C195</f>
        <v>0</v>
      </c>
      <c r="M195">
        <f>VLOOKUP(A195,'Cross ref Tab'!A:E,3,FALSE)</f>
        <v>4000</v>
      </c>
      <c r="S195">
        <f aca="true" t="shared" si="15" ref="S195:S232">+C195</f>
        <v>0</v>
      </c>
    </row>
    <row r="196" spans="1:19" ht="12.75">
      <c r="A196" s="251" t="s">
        <v>330</v>
      </c>
      <c r="B196" s="251" t="s">
        <v>645</v>
      </c>
      <c r="C196" s="251">
        <v>217</v>
      </c>
      <c r="I196" t="str">
        <f t="shared" si="12"/>
        <v>TR932</v>
      </c>
      <c r="J196" t="str">
        <f t="shared" si="13"/>
        <v>Mersea Centre - 10th-12th Jun 15</v>
      </c>
      <c r="K196">
        <f t="shared" si="14"/>
        <v>217</v>
      </c>
      <c r="M196">
        <f>VLOOKUP(A196,'Cross ref Tab'!A:E,3,FALSE)</f>
        <v>4000</v>
      </c>
      <c r="S196">
        <f t="shared" si="15"/>
        <v>217</v>
      </c>
    </row>
    <row r="197" spans="1:19" ht="12.75">
      <c r="A197" s="251" t="s">
        <v>620</v>
      </c>
      <c r="B197" s="251" t="s">
        <v>621</v>
      </c>
      <c r="C197" s="251">
        <v>0</v>
      </c>
      <c r="I197" t="str">
        <f t="shared" si="12"/>
        <v>TR933</v>
      </c>
      <c r="J197" t="str">
        <f t="shared" si="13"/>
        <v>Foot.Acad. Miami Tour Mar/Apr 15</v>
      </c>
      <c r="K197">
        <f t="shared" si="14"/>
        <v>0</v>
      </c>
      <c r="M197">
        <f>VLOOKUP(A197,'Cross ref Tab'!A:E,3,FALSE)</f>
        <v>4000</v>
      </c>
      <c r="S197">
        <f t="shared" si="15"/>
        <v>0</v>
      </c>
    </row>
    <row r="198" spans="1:19" ht="12.75">
      <c r="A198" s="251" t="s">
        <v>622</v>
      </c>
      <c r="B198" s="251" t="s">
        <v>722</v>
      </c>
      <c r="C198" s="251">
        <v>0</v>
      </c>
      <c r="I198" t="str">
        <f t="shared" si="12"/>
        <v>TR934</v>
      </c>
      <c r="J198" t="str">
        <f t="shared" si="13"/>
        <v>Fest. of the Spoken Nerd-16.1.15</v>
      </c>
      <c r="K198">
        <f t="shared" si="14"/>
        <v>0</v>
      </c>
      <c r="M198">
        <f>VLOOKUP(A198,'Cross ref Tab'!A:E,3,FALSE)</f>
        <v>4000</v>
      </c>
      <c r="S198">
        <f t="shared" si="15"/>
        <v>0</v>
      </c>
    </row>
    <row r="199" spans="1:19" ht="12.75">
      <c r="A199" s="251" t="s">
        <v>332</v>
      </c>
      <c r="B199" s="251" t="s">
        <v>723</v>
      </c>
      <c r="C199" s="251">
        <v>0</v>
      </c>
      <c r="I199" t="str">
        <f t="shared" si="12"/>
        <v>TR935</v>
      </c>
      <c r="J199" t="str">
        <f t="shared" si="13"/>
        <v>STEM Roadshow 10.12.14</v>
      </c>
      <c r="K199">
        <f t="shared" si="14"/>
        <v>0</v>
      </c>
      <c r="M199">
        <f>VLOOKUP(A199,'Cross ref Tab'!A:E,3,FALSE)</f>
        <v>4000</v>
      </c>
      <c r="S199">
        <f t="shared" si="15"/>
        <v>0</v>
      </c>
    </row>
    <row r="200" spans="1:19" ht="12.75">
      <c r="A200" s="251" t="s">
        <v>624</v>
      </c>
      <c r="B200" s="251" t="s">
        <v>724</v>
      </c>
      <c r="C200" s="251">
        <v>0</v>
      </c>
      <c r="I200" t="str">
        <f t="shared" si="12"/>
        <v>TR936</v>
      </c>
      <c r="J200" t="str">
        <f t="shared" si="13"/>
        <v>The Globe Theatre - 05.05.15</v>
      </c>
      <c r="K200">
        <f t="shared" si="14"/>
        <v>0</v>
      </c>
      <c r="M200">
        <f>VLOOKUP(A200,'Cross ref Tab'!A:E,3,FALSE)</f>
        <v>4000</v>
      </c>
      <c r="S200">
        <f t="shared" si="15"/>
        <v>0</v>
      </c>
    </row>
    <row r="201" spans="1:19" ht="12.75">
      <c r="A201" s="251" t="s">
        <v>334</v>
      </c>
      <c r="B201" s="251" t="s">
        <v>725</v>
      </c>
      <c r="C201" s="251">
        <v>0</v>
      </c>
      <c r="I201" t="str">
        <f t="shared" si="12"/>
        <v>TR937</v>
      </c>
      <c r="J201" t="str">
        <f t="shared" si="13"/>
        <v>Yr 11 Prom 2016</v>
      </c>
      <c r="K201">
        <f t="shared" si="14"/>
        <v>0</v>
      </c>
      <c r="M201">
        <f>VLOOKUP(A201,'Cross ref Tab'!A:E,3,FALSE)</f>
        <v>4000</v>
      </c>
      <c r="S201">
        <f t="shared" si="15"/>
        <v>0</v>
      </c>
    </row>
    <row r="202" spans="1:19" ht="12.75">
      <c r="A202" s="251" t="s">
        <v>336</v>
      </c>
      <c r="B202" s="251" t="s">
        <v>726</v>
      </c>
      <c r="C202" s="251">
        <v>0</v>
      </c>
      <c r="I202" t="str">
        <f t="shared" si="12"/>
        <v>TR938</v>
      </c>
      <c r="J202" t="str">
        <f t="shared" si="13"/>
        <v>Higher Education Fair 01.07.15</v>
      </c>
      <c r="K202">
        <f t="shared" si="14"/>
        <v>0</v>
      </c>
      <c r="M202">
        <f>VLOOKUP(A202,'Cross ref Tab'!A:E,3,FALSE)</f>
        <v>4000</v>
      </c>
      <c r="S202">
        <f t="shared" si="15"/>
        <v>0</v>
      </c>
    </row>
    <row r="203" spans="1:19" ht="12.75">
      <c r="A203" s="251" t="s">
        <v>646</v>
      </c>
      <c r="B203" s="251" t="s">
        <v>647</v>
      </c>
      <c r="C203" s="251">
        <v>0</v>
      </c>
      <c r="I203" t="str">
        <f t="shared" si="12"/>
        <v>TR939</v>
      </c>
      <c r="J203" t="str">
        <f t="shared" si="13"/>
        <v>Sleeping Beauty Panto - 16.12.14</v>
      </c>
      <c r="K203">
        <f t="shared" si="14"/>
        <v>0</v>
      </c>
      <c r="M203">
        <f>VLOOKUP(A203,'Cross ref Tab'!A:E,3,FALSE)</f>
        <v>4000</v>
      </c>
      <c r="S203">
        <f t="shared" si="15"/>
        <v>0</v>
      </c>
    </row>
    <row r="204" spans="1:19" ht="12.75">
      <c r="A204" s="251" t="s">
        <v>648</v>
      </c>
      <c r="B204" s="251" t="s">
        <v>649</v>
      </c>
      <c r="C204" s="251">
        <v>0</v>
      </c>
      <c r="I204" t="str">
        <f t="shared" si="12"/>
        <v>TR940</v>
      </c>
      <c r="J204" t="str">
        <f t="shared" si="13"/>
        <v>Epping Forest Fld.Trip - 17.9.14</v>
      </c>
      <c r="K204">
        <f t="shared" si="14"/>
        <v>0</v>
      </c>
      <c r="M204">
        <f>VLOOKUP(A204,'Cross ref Tab'!A:E,3,FALSE)</f>
        <v>4000</v>
      </c>
      <c r="S204">
        <f t="shared" si="15"/>
        <v>0</v>
      </c>
    </row>
    <row r="205" spans="1:19" ht="12.75">
      <c r="A205" s="251" t="s">
        <v>338</v>
      </c>
      <c r="B205" s="251" t="s">
        <v>727</v>
      </c>
      <c r="C205" s="251">
        <v>0</v>
      </c>
      <c r="I205" t="str">
        <f t="shared" si="12"/>
        <v>TR941</v>
      </c>
      <c r="J205" t="str">
        <f t="shared" si="13"/>
        <v>Eastbourne Cricket Tour Apr.'15</v>
      </c>
      <c r="K205">
        <f t="shared" si="14"/>
        <v>0</v>
      </c>
      <c r="M205">
        <f>VLOOKUP(A205,'Cross ref Tab'!A:E,3,FALSE)</f>
        <v>4000</v>
      </c>
      <c r="S205">
        <f t="shared" si="15"/>
        <v>0</v>
      </c>
    </row>
    <row r="206" spans="1:19" ht="12.75">
      <c r="A206" s="251" t="s">
        <v>340</v>
      </c>
      <c r="B206" s="251" t="s">
        <v>728</v>
      </c>
      <c r="C206" s="251">
        <v>0</v>
      </c>
      <c r="I206" t="str">
        <f t="shared" si="12"/>
        <v>TR942</v>
      </c>
      <c r="J206" t="str">
        <f t="shared" si="13"/>
        <v>Metamorphosis - 15.10.15</v>
      </c>
      <c r="K206">
        <f t="shared" si="14"/>
        <v>0</v>
      </c>
      <c r="M206">
        <f>VLOOKUP(A206,'Cross ref Tab'!A:E,3,FALSE)</f>
        <v>4000</v>
      </c>
      <c r="S206">
        <f t="shared" si="15"/>
        <v>0</v>
      </c>
    </row>
    <row r="207" spans="1:19" ht="12.75">
      <c r="A207" s="251" t="s">
        <v>650</v>
      </c>
      <c r="B207" s="251" t="s">
        <v>729</v>
      </c>
      <c r="C207" s="251">
        <v>0</v>
      </c>
      <c r="I207" t="str">
        <f t="shared" si="12"/>
        <v>TR944</v>
      </c>
      <c r="J207" t="str">
        <f t="shared" si="13"/>
        <v>Essex Roadster 2015</v>
      </c>
      <c r="K207">
        <f t="shared" si="14"/>
        <v>0</v>
      </c>
      <c r="M207">
        <f>VLOOKUP(A207,'Cross ref Tab'!A:E,3,FALSE)</f>
        <v>4000</v>
      </c>
      <c r="S207">
        <f t="shared" si="15"/>
        <v>0</v>
      </c>
    </row>
    <row r="208" spans="1:19" ht="12.75">
      <c r="A208" s="251" t="s">
        <v>344</v>
      </c>
      <c r="B208" s="251" t="s">
        <v>730</v>
      </c>
      <c r="C208" s="251">
        <v>0</v>
      </c>
      <c r="I208" t="str">
        <f t="shared" si="12"/>
        <v>TR945</v>
      </c>
      <c r="J208" t="str">
        <f t="shared" si="13"/>
        <v>Thorpe Park - 20.7.15</v>
      </c>
      <c r="K208">
        <f t="shared" si="14"/>
        <v>0</v>
      </c>
      <c r="M208">
        <f>VLOOKUP(A208,'Cross ref Tab'!A:E,3,FALSE)</f>
        <v>4000</v>
      </c>
      <c r="S208">
        <f t="shared" si="15"/>
        <v>0</v>
      </c>
    </row>
    <row r="209" spans="1:19" ht="12.75">
      <c r="A209" s="251" t="s">
        <v>346</v>
      </c>
      <c r="B209" s="251" t="s">
        <v>652</v>
      </c>
      <c r="C209" s="251">
        <v>0</v>
      </c>
      <c r="I209" t="str">
        <f t="shared" si="12"/>
        <v>TR946</v>
      </c>
      <c r="J209" t="str">
        <f t="shared" si="13"/>
        <v>The Curious Incident-29.09.14</v>
      </c>
      <c r="K209">
        <f t="shared" si="14"/>
        <v>0</v>
      </c>
      <c r="M209">
        <f>VLOOKUP(A209,'Cross ref Tab'!A:E,3,FALSE)</f>
        <v>4000</v>
      </c>
      <c r="S209">
        <f t="shared" si="15"/>
        <v>0</v>
      </c>
    </row>
    <row r="210" spans="1:19" ht="12.75">
      <c r="A210" s="251" t="s">
        <v>348</v>
      </c>
      <c r="B210" s="251" t="s">
        <v>731</v>
      </c>
      <c r="C210" s="251">
        <v>0</v>
      </c>
      <c r="I210" t="str">
        <f t="shared" si="12"/>
        <v>TR947</v>
      </c>
      <c r="J210" t="str">
        <f t="shared" si="13"/>
        <v>Year 11 Prom - 02.07.15</v>
      </c>
      <c r="K210">
        <f t="shared" si="14"/>
        <v>0</v>
      </c>
      <c r="M210">
        <f>VLOOKUP(A210,'Cross ref Tab'!A:E,3,FALSE)</f>
        <v>4000</v>
      </c>
      <c r="S210">
        <f t="shared" si="15"/>
        <v>0</v>
      </c>
    </row>
    <row r="211" spans="1:19" ht="12.75">
      <c r="A211" s="251" t="s">
        <v>653</v>
      </c>
      <c r="B211" s="251" t="s">
        <v>654</v>
      </c>
      <c r="C211" s="251">
        <v>0</v>
      </c>
      <c r="I211" t="str">
        <f t="shared" si="12"/>
        <v>TR948</v>
      </c>
      <c r="J211" t="str">
        <f t="shared" si="13"/>
        <v>OCR AS Chemistry Textbook</v>
      </c>
      <c r="K211">
        <f t="shared" si="14"/>
        <v>0</v>
      </c>
      <c r="M211">
        <f>VLOOKUP(A211,'Cross ref Tab'!A:E,3,FALSE)</f>
        <v>1600</v>
      </c>
      <c r="S211">
        <f t="shared" si="15"/>
        <v>0</v>
      </c>
    </row>
    <row r="212" spans="1:19" ht="12.75">
      <c r="A212" s="251" t="s">
        <v>655</v>
      </c>
      <c r="B212" s="251" t="s">
        <v>656</v>
      </c>
      <c r="C212" s="251">
        <v>0</v>
      </c>
      <c r="I212" t="str">
        <f t="shared" si="12"/>
        <v>TR949</v>
      </c>
      <c r="J212" t="str">
        <f t="shared" si="13"/>
        <v>Ghost Stories - 16.10.14</v>
      </c>
      <c r="K212">
        <f t="shared" si="14"/>
        <v>0</v>
      </c>
      <c r="M212">
        <f>VLOOKUP(A212,'Cross ref Tab'!A:E,3,FALSE)</f>
        <v>4000</v>
      </c>
      <c r="S212">
        <f t="shared" si="15"/>
        <v>0</v>
      </c>
    </row>
    <row r="213" spans="1:19" ht="12.75">
      <c r="A213" s="251" t="s">
        <v>657</v>
      </c>
      <c r="B213" s="251" t="s">
        <v>658</v>
      </c>
      <c r="C213" s="251">
        <v>0</v>
      </c>
      <c r="I213" t="str">
        <f t="shared" si="12"/>
        <v>TR950</v>
      </c>
      <c r="J213" t="str">
        <f t="shared" si="13"/>
        <v>Royal Soc. of Chemistry -9.10.14</v>
      </c>
      <c r="K213">
        <f t="shared" si="14"/>
        <v>0</v>
      </c>
      <c r="M213">
        <f>VLOOKUP(A213,'Cross ref Tab'!A:E,3,FALSE)</f>
        <v>4000</v>
      </c>
      <c r="S213">
        <f t="shared" si="15"/>
        <v>0</v>
      </c>
    </row>
    <row r="214" spans="1:19" ht="12.75">
      <c r="A214" s="251" t="s">
        <v>659</v>
      </c>
      <c r="B214" s="251" t="s">
        <v>660</v>
      </c>
      <c r="C214" s="251">
        <v>0</v>
      </c>
      <c r="I214" t="str">
        <f t="shared" si="12"/>
        <v>TR951</v>
      </c>
      <c r="J214" t="str">
        <f t="shared" si="13"/>
        <v>Disneyland,Paris-13/16.7.15</v>
      </c>
      <c r="K214">
        <f t="shared" si="14"/>
        <v>0</v>
      </c>
      <c r="M214">
        <f>VLOOKUP(A214,'Cross ref Tab'!A:E,3,FALSE)</f>
        <v>4000</v>
      </c>
      <c r="S214">
        <f t="shared" si="15"/>
        <v>0</v>
      </c>
    </row>
    <row r="215" spans="1:19" ht="12.75">
      <c r="A215" s="251" t="s">
        <v>661</v>
      </c>
      <c r="B215" s="251" t="s">
        <v>662</v>
      </c>
      <c r="C215" s="251">
        <v>0</v>
      </c>
      <c r="I215" t="str">
        <f t="shared" si="12"/>
        <v>TR952</v>
      </c>
      <c r="J215" t="str">
        <f t="shared" si="13"/>
        <v>'John' - 18.12.14</v>
      </c>
      <c r="K215">
        <f t="shared" si="14"/>
        <v>0</v>
      </c>
      <c r="M215">
        <f>VLOOKUP(A215,'Cross ref Tab'!A:E,3,FALSE)</f>
        <v>4000</v>
      </c>
      <c r="S215">
        <f t="shared" si="15"/>
        <v>0</v>
      </c>
    </row>
    <row r="216" spans="1:19" ht="12.75">
      <c r="A216" s="251" t="s">
        <v>354</v>
      </c>
      <c r="B216" s="251" t="s">
        <v>732</v>
      </c>
      <c r="C216" s="251">
        <v>0</v>
      </c>
      <c r="I216" t="str">
        <f t="shared" si="12"/>
        <v>TR957</v>
      </c>
      <c r="J216" t="str">
        <f t="shared" si="13"/>
        <v>Treasure Island - 18.3.15</v>
      </c>
      <c r="K216">
        <f t="shared" si="14"/>
        <v>0</v>
      </c>
      <c r="M216">
        <f>VLOOKUP(A216,'Cross ref Tab'!A:E,3,FALSE)</f>
        <v>4000</v>
      </c>
      <c r="S216">
        <f t="shared" si="15"/>
        <v>0</v>
      </c>
    </row>
    <row r="217" spans="1:19" ht="12.75">
      <c r="A217" s="251" t="s">
        <v>358</v>
      </c>
      <c r="B217" s="251" t="s">
        <v>594</v>
      </c>
      <c r="C217" s="251">
        <v>0</v>
      </c>
      <c r="I217" t="str">
        <f t="shared" si="12"/>
        <v>TR960</v>
      </c>
      <c r="J217" t="str">
        <f t="shared" si="13"/>
        <v>Harry Potter - 24/1/14</v>
      </c>
      <c r="K217">
        <f t="shared" si="14"/>
        <v>0</v>
      </c>
      <c r="M217">
        <f>VLOOKUP(A217,'Cross ref Tab'!A:E,3,FALSE)</f>
        <v>4000</v>
      </c>
      <c r="S217">
        <f t="shared" si="15"/>
        <v>0</v>
      </c>
    </row>
    <row r="218" spans="1:19" ht="12.75">
      <c r="A218" s="251" t="s">
        <v>360</v>
      </c>
      <c r="B218" s="251" t="s">
        <v>663</v>
      </c>
      <c r="C218" s="251">
        <v>0</v>
      </c>
      <c r="I218" t="str">
        <f t="shared" si="12"/>
        <v>TR961</v>
      </c>
      <c r="J218" t="str">
        <f t="shared" si="13"/>
        <v>Dick Whittington</v>
      </c>
      <c r="K218">
        <f t="shared" si="14"/>
        <v>0</v>
      </c>
      <c r="M218">
        <f>VLOOKUP(A218,'Cross ref Tab'!A:E,3,FALSE)</f>
        <v>4000</v>
      </c>
      <c r="S218">
        <f t="shared" si="15"/>
        <v>0</v>
      </c>
    </row>
    <row r="219" spans="1:19" ht="12.75">
      <c r="A219" s="251" t="s">
        <v>362</v>
      </c>
      <c r="B219" s="251" t="s">
        <v>664</v>
      </c>
      <c r="C219" s="251">
        <v>0</v>
      </c>
      <c r="I219" t="str">
        <f t="shared" si="12"/>
        <v>TR964</v>
      </c>
      <c r="J219" t="str">
        <f t="shared" si="13"/>
        <v>Colchester Zoo BVE - 7.1.15</v>
      </c>
      <c r="K219">
        <f t="shared" si="14"/>
        <v>0</v>
      </c>
      <c r="M219">
        <f>VLOOKUP(A219,'Cross ref Tab'!A:E,3,FALSE)</f>
        <v>4000</v>
      </c>
      <c r="S219">
        <f t="shared" si="15"/>
        <v>0</v>
      </c>
    </row>
    <row r="220" spans="1:19" ht="12.75">
      <c r="A220" s="251" t="s">
        <v>366</v>
      </c>
      <c r="B220" s="251" t="s">
        <v>578</v>
      </c>
      <c r="C220" s="251">
        <v>0</v>
      </c>
      <c r="I220" t="str">
        <f t="shared" si="12"/>
        <v>TR966</v>
      </c>
      <c r="J220" t="str">
        <f t="shared" si="13"/>
        <v>Barcelona Netball Tour - 24.5.14</v>
      </c>
      <c r="K220">
        <f t="shared" si="14"/>
        <v>0</v>
      </c>
      <c r="M220">
        <f>VLOOKUP(A220,'Cross ref Tab'!A:E,3,FALSE)</f>
        <v>4000</v>
      </c>
      <c r="S220">
        <f t="shared" si="15"/>
        <v>0</v>
      </c>
    </row>
    <row r="221" spans="1:19" ht="12.75">
      <c r="A221" s="251" t="s">
        <v>368</v>
      </c>
      <c r="B221" s="251" t="s">
        <v>733</v>
      </c>
      <c r="C221" s="251">
        <v>0</v>
      </c>
      <c r="I221" t="str">
        <f t="shared" si="12"/>
        <v>TR967</v>
      </c>
      <c r="J221" t="str">
        <f t="shared" si="13"/>
        <v>Epp. Forest Field Trip 7/8.05.15</v>
      </c>
      <c r="K221">
        <f t="shared" si="14"/>
        <v>0</v>
      </c>
      <c r="M221">
        <f>VLOOKUP(A221,'Cross ref Tab'!A:E,3,FALSE)</f>
        <v>4000</v>
      </c>
      <c r="S221">
        <f t="shared" si="15"/>
        <v>0</v>
      </c>
    </row>
    <row r="222" spans="1:19" ht="12.75">
      <c r="A222" s="251" t="s">
        <v>370</v>
      </c>
      <c r="B222" s="251" t="s">
        <v>734</v>
      </c>
      <c r="C222" s="251">
        <v>0</v>
      </c>
      <c r="I222" t="str">
        <f t="shared" si="12"/>
        <v>TR969</v>
      </c>
      <c r="J222" t="str">
        <f t="shared" si="13"/>
        <v>Woman in Black-10/11/2015</v>
      </c>
      <c r="K222">
        <f t="shared" si="14"/>
        <v>0</v>
      </c>
      <c r="M222">
        <f>VLOOKUP(A222,'Cross ref Tab'!A:E,3,FALSE)</f>
        <v>4000</v>
      </c>
      <c r="S222">
        <f t="shared" si="15"/>
        <v>0</v>
      </c>
    </row>
    <row r="223" spans="1:19" ht="12.75">
      <c r="A223" s="251" t="s">
        <v>665</v>
      </c>
      <c r="B223" s="251" t="s">
        <v>666</v>
      </c>
      <c r="C223" s="251">
        <v>0</v>
      </c>
      <c r="I223" t="str">
        <f t="shared" si="12"/>
        <v>TR9944</v>
      </c>
      <c r="J223" t="str">
        <f t="shared" si="13"/>
        <v>OCR AS Biology Text Books</v>
      </c>
      <c r="K223">
        <f t="shared" si="14"/>
        <v>0</v>
      </c>
      <c r="M223">
        <f>VLOOKUP(A223,'Cross ref Tab'!A:E,3,FALSE)</f>
        <v>1600</v>
      </c>
      <c r="S223">
        <f t="shared" si="15"/>
        <v>0</v>
      </c>
    </row>
    <row r="224" spans="1:19" ht="12.75">
      <c r="A224" s="251" t="s">
        <v>356</v>
      </c>
      <c r="B224" s="251" t="s">
        <v>575</v>
      </c>
      <c r="C224" s="251">
        <v>0</v>
      </c>
      <c r="I224" t="str">
        <f t="shared" si="12"/>
        <v>TR959</v>
      </c>
      <c r="J224" t="str">
        <f t="shared" si="13"/>
        <v>'Once' - Phoenix Theatre - 21.10</v>
      </c>
      <c r="K224">
        <f t="shared" si="14"/>
        <v>0</v>
      </c>
      <c r="M224">
        <f>VLOOKUP(A224,'Cross ref Tab'!A:E,3,FALSE)</f>
        <v>4000</v>
      </c>
      <c r="S224">
        <f t="shared" si="15"/>
        <v>0</v>
      </c>
    </row>
    <row r="225" spans="1:19" ht="12.75">
      <c r="A225" s="251" t="s">
        <v>358</v>
      </c>
      <c r="B225" s="251" t="s">
        <v>594</v>
      </c>
      <c r="C225" s="251">
        <v>0</v>
      </c>
      <c r="I225" t="str">
        <f t="shared" si="12"/>
        <v>TR960</v>
      </c>
      <c r="J225" t="str">
        <f t="shared" si="13"/>
        <v>Harry Potter - 24/1/14</v>
      </c>
      <c r="K225">
        <f t="shared" si="14"/>
        <v>0</v>
      </c>
      <c r="M225">
        <f>VLOOKUP(A225,'Cross ref Tab'!A:E,3,FALSE)</f>
        <v>4000</v>
      </c>
      <c r="S225">
        <f t="shared" si="15"/>
        <v>0</v>
      </c>
    </row>
    <row r="226" spans="1:19" ht="12.75">
      <c r="A226" s="251" t="s">
        <v>360</v>
      </c>
      <c r="B226" s="251" t="s">
        <v>663</v>
      </c>
      <c r="C226" s="251">
        <v>0</v>
      </c>
      <c r="I226" t="str">
        <f t="shared" si="12"/>
        <v>TR961</v>
      </c>
      <c r="J226" t="str">
        <f t="shared" si="13"/>
        <v>Dick Whittington</v>
      </c>
      <c r="K226">
        <f t="shared" si="14"/>
        <v>0</v>
      </c>
      <c r="M226">
        <f>VLOOKUP(A226,'Cross ref Tab'!A:E,3,FALSE)</f>
        <v>4000</v>
      </c>
      <c r="S226">
        <f t="shared" si="15"/>
        <v>0</v>
      </c>
    </row>
    <row r="227" spans="1:19" ht="12.75">
      <c r="A227" s="251" t="s">
        <v>362</v>
      </c>
      <c r="B227" s="251" t="s">
        <v>664</v>
      </c>
      <c r="C227" s="251">
        <v>0</v>
      </c>
      <c r="I227" t="str">
        <f t="shared" si="12"/>
        <v>TR964</v>
      </c>
      <c r="J227" t="str">
        <f t="shared" si="13"/>
        <v>Colchester Zoo BVE - 7.1.15</v>
      </c>
      <c r="K227">
        <f t="shared" si="14"/>
        <v>0</v>
      </c>
      <c r="M227">
        <f>VLOOKUP(A227,'Cross ref Tab'!A:E,3,FALSE)</f>
        <v>4000</v>
      </c>
      <c r="S227">
        <f t="shared" si="15"/>
        <v>0</v>
      </c>
    </row>
    <row r="228" spans="1:19" ht="12.75">
      <c r="A228" s="251" t="s">
        <v>364</v>
      </c>
      <c r="B228" s="251" t="s">
        <v>577</v>
      </c>
      <c r="C228" s="251">
        <v>0</v>
      </c>
      <c r="I228" t="str">
        <f t="shared" si="12"/>
        <v>TR965</v>
      </c>
      <c r="J228" t="str">
        <f t="shared" si="13"/>
        <v>Billy Elliot - 23.01.14</v>
      </c>
      <c r="K228">
        <f t="shared" si="14"/>
        <v>0</v>
      </c>
      <c r="M228">
        <f>VLOOKUP(A228,'Cross ref Tab'!A:E,3,FALSE)</f>
        <v>4000</v>
      </c>
      <c r="S228">
        <f t="shared" si="15"/>
        <v>0</v>
      </c>
    </row>
    <row r="229" spans="1:19" ht="12.75">
      <c r="A229" s="251" t="s">
        <v>366</v>
      </c>
      <c r="B229" s="251" t="s">
        <v>578</v>
      </c>
      <c r="C229" s="251">
        <v>0</v>
      </c>
      <c r="I229" t="str">
        <f t="shared" si="12"/>
        <v>TR966</v>
      </c>
      <c r="J229" t="str">
        <f t="shared" si="13"/>
        <v>Barcelona Netball Tour - 24.5.14</v>
      </c>
      <c r="K229">
        <f t="shared" si="14"/>
        <v>0</v>
      </c>
      <c r="M229">
        <f>VLOOKUP(A229,'Cross ref Tab'!A:E,3,FALSE)</f>
        <v>4000</v>
      </c>
      <c r="S229">
        <f t="shared" si="15"/>
        <v>0</v>
      </c>
    </row>
    <row r="230" spans="1:19" ht="12.75">
      <c r="A230" s="251" t="s">
        <v>368</v>
      </c>
      <c r="B230" s="251" t="s">
        <v>612</v>
      </c>
      <c r="C230" s="251">
        <v>0</v>
      </c>
      <c r="I230" t="str">
        <f t="shared" si="12"/>
        <v>TR967</v>
      </c>
      <c r="J230" t="str">
        <f t="shared" si="13"/>
        <v>Epp. Forest Field Trip 2/5/14</v>
      </c>
      <c r="K230">
        <f t="shared" si="14"/>
        <v>0</v>
      </c>
      <c r="M230">
        <f>VLOOKUP(A230,'Cross ref Tab'!A:E,3,FALSE)</f>
        <v>4000</v>
      </c>
      <c r="S230">
        <f t="shared" si="15"/>
        <v>0</v>
      </c>
    </row>
    <row r="231" spans="1:19" ht="12.75">
      <c r="A231" s="251" t="s">
        <v>370</v>
      </c>
      <c r="B231" s="251" t="s">
        <v>580</v>
      </c>
      <c r="C231" s="251">
        <v>0</v>
      </c>
      <c r="I231" t="str">
        <f t="shared" si="12"/>
        <v>TR969</v>
      </c>
      <c r="J231" t="str">
        <f t="shared" si="13"/>
        <v>Woman in Black-11/03/2014</v>
      </c>
      <c r="K231">
        <f t="shared" si="14"/>
        <v>0</v>
      </c>
      <c r="M231">
        <f>VLOOKUP(A231,'Cross ref Tab'!A:E,3,FALSE)</f>
        <v>4000</v>
      </c>
      <c r="S231">
        <f t="shared" si="15"/>
        <v>0</v>
      </c>
    </row>
    <row r="232" spans="1:19" ht="12.75">
      <c r="A232" s="251" t="s">
        <v>665</v>
      </c>
      <c r="B232" s="251" t="s">
        <v>666</v>
      </c>
      <c r="C232" s="251">
        <v>0</v>
      </c>
      <c r="I232" t="str">
        <f t="shared" si="12"/>
        <v>TR9944</v>
      </c>
      <c r="J232" t="str">
        <f t="shared" si="13"/>
        <v>OCR AS Biology Text Books</v>
      </c>
      <c r="K232">
        <f t="shared" si="14"/>
        <v>0</v>
      </c>
      <c r="M232">
        <f>VLOOKUP(A232,'Cross ref Tab'!A:E,3,FALSE)</f>
        <v>1600</v>
      </c>
      <c r="S232">
        <f t="shared" si="15"/>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63"/>
  <sheetViews>
    <sheetView zoomScalePageLayoutView="0" workbookViewId="0" topLeftCell="A1">
      <selection activeCell="B16" sqref="B16"/>
    </sheetView>
  </sheetViews>
  <sheetFormatPr defaultColWidth="9.140625" defaultRowHeight="12.75"/>
  <cols>
    <col min="1" max="1" width="37.7109375" style="0" customWidth="1"/>
    <col min="2" max="2" width="18.8515625" style="318" customWidth="1"/>
    <col min="3" max="3" width="0.13671875" style="0" customWidth="1"/>
    <col min="4" max="4" width="11.8515625" style="0" customWidth="1"/>
    <col min="5" max="5" width="12.7109375" style="0" customWidth="1"/>
    <col min="6" max="6" width="0.9921875" style="0" customWidth="1"/>
    <col min="10" max="10" width="10.57421875" style="0" bestFit="1" customWidth="1"/>
    <col min="12" max="12" width="10.57421875" style="0" bestFit="1" customWidth="1"/>
  </cols>
  <sheetData>
    <row r="1" spans="1:2" ht="28.5">
      <c r="A1" s="327" t="s">
        <v>738</v>
      </c>
      <c r="B1" s="328"/>
    </row>
    <row r="2" spans="1:2" ht="12.75">
      <c r="A2" s="329"/>
      <c r="B2" s="328"/>
    </row>
    <row r="3" spans="1:2" ht="21">
      <c r="A3" s="330" t="s">
        <v>739</v>
      </c>
      <c r="B3" s="328"/>
    </row>
    <row r="4" spans="1:2" ht="12.75">
      <c r="A4" s="329"/>
      <c r="B4" s="328"/>
    </row>
    <row r="5" spans="1:2" ht="12.75">
      <c r="A5" s="329"/>
      <c r="B5" s="328"/>
    </row>
    <row r="6" spans="1:4" ht="18.75">
      <c r="A6" s="331"/>
      <c r="B6" s="332" t="s">
        <v>682</v>
      </c>
      <c r="C6" s="333"/>
      <c r="D6" s="333"/>
    </row>
    <row r="7" spans="1:4" ht="15.75">
      <c r="A7" s="331" t="s">
        <v>683</v>
      </c>
      <c r="B7" s="334">
        <v>5946831</v>
      </c>
      <c r="C7" s="333"/>
      <c r="D7" s="333"/>
    </row>
    <row r="8" spans="1:4" ht="15.75">
      <c r="A8" s="331" t="s">
        <v>684</v>
      </c>
      <c r="B8" s="334">
        <v>375335</v>
      </c>
      <c r="C8" s="333"/>
      <c r="D8" s="333"/>
    </row>
    <row r="9" spans="1:4" ht="15.75">
      <c r="A9" s="331" t="s">
        <v>176</v>
      </c>
      <c r="B9" s="334">
        <v>195800</v>
      </c>
      <c r="C9" s="333"/>
      <c r="D9" s="333"/>
    </row>
    <row r="10" spans="1:4" ht="15.75">
      <c r="A10" s="331" t="s">
        <v>500</v>
      </c>
      <c r="B10" s="334">
        <v>200000</v>
      </c>
      <c r="C10" s="333"/>
      <c r="D10" s="333"/>
    </row>
    <row r="11" spans="1:10" ht="16.5" thickBot="1">
      <c r="A11" s="335" t="s">
        <v>685</v>
      </c>
      <c r="B11" s="336">
        <v>6717966</v>
      </c>
      <c r="C11" s="333"/>
      <c r="D11" s="333"/>
      <c r="J11" s="337"/>
    </row>
    <row r="12" spans="1:4" ht="16.5" thickTop="1">
      <c r="A12" s="331"/>
      <c r="B12" s="334"/>
      <c r="C12" s="333"/>
      <c r="D12" s="333"/>
    </row>
    <row r="13" spans="1:7" ht="15.75">
      <c r="A13" s="331"/>
      <c r="B13" s="334"/>
      <c r="C13" s="333"/>
      <c r="D13" s="333"/>
      <c r="G13" s="81"/>
    </row>
    <row r="14" spans="1:7" ht="15.75">
      <c r="A14" s="331" t="s">
        <v>672</v>
      </c>
      <c r="B14" s="334">
        <v>3741529</v>
      </c>
      <c r="C14" s="333"/>
      <c r="D14" s="338"/>
      <c r="G14" s="339"/>
    </row>
    <row r="15" spans="1:7" ht="15.75">
      <c r="A15" s="331" t="s">
        <v>494</v>
      </c>
      <c r="B15" s="334">
        <v>883907</v>
      </c>
      <c r="C15" s="333"/>
      <c r="D15" s="338"/>
      <c r="G15" s="339"/>
    </row>
    <row r="16" spans="1:7" ht="15.75">
      <c r="A16" s="331" t="s">
        <v>673</v>
      </c>
      <c r="B16" s="334">
        <v>144622</v>
      </c>
      <c r="C16" s="333"/>
      <c r="D16" s="333"/>
      <c r="G16" s="339"/>
    </row>
    <row r="17" spans="1:10" ht="15.75">
      <c r="A17" s="331" t="s">
        <v>674</v>
      </c>
      <c r="B17" s="334">
        <v>520424</v>
      </c>
      <c r="C17" s="333"/>
      <c r="D17" s="333"/>
      <c r="G17" s="339"/>
      <c r="J17" s="337"/>
    </row>
    <row r="18" spans="1:12" ht="15.75">
      <c r="A18" s="331" t="s">
        <v>86</v>
      </c>
      <c r="B18" s="334">
        <v>92000</v>
      </c>
      <c r="C18" s="333"/>
      <c r="D18" s="338"/>
      <c r="G18" s="339"/>
      <c r="L18" s="337"/>
    </row>
    <row r="19" spans="1:7" ht="15.75">
      <c r="A19" s="331" t="s">
        <v>675</v>
      </c>
      <c r="B19" s="334">
        <v>53000</v>
      </c>
      <c r="C19" s="333"/>
      <c r="D19" s="338"/>
      <c r="G19" s="339"/>
    </row>
    <row r="20" spans="1:7" ht="15.75">
      <c r="A20" s="331" t="s">
        <v>676</v>
      </c>
      <c r="B20" s="334">
        <v>137500</v>
      </c>
      <c r="C20" s="333"/>
      <c r="D20" s="338"/>
      <c r="G20" s="339"/>
    </row>
    <row r="21" spans="1:7" ht="15.75">
      <c r="A21" s="331" t="s">
        <v>677</v>
      </c>
      <c r="B21" s="334">
        <v>383500</v>
      </c>
      <c r="C21" s="333"/>
      <c r="D21" s="338"/>
      <c r="G21" s="339"/>
    </row>
    <row r="22" spans="1:7" ht="15.75">
      <c r="A22" s="331" t="s">
        <v>678</v>
      </c>
      <c r="B22" s="334">
        <v>109750</v>
      </c>
      <c r="C22" s="333"/>
      <c r="D22" s="338"/>
      <c r="G22" s="339"/>
    </row>
    <row r="23" spans="1:7" ht="15.75">
      <c r="A23" s="331" t="s">
        <v>679</v>
      </c>
      <c r="B23" s="334">
        <v>90000</v>
      </c>
      <c r="C23" s="333"/>
      <c r="D23" s="333"/>
      <c r="G23" s="339"/>
    </row>
    <row r="24" spans="1:7" ht="15.75">
      <c r="A24" s="331" t="s">
        <v>680</v>
      </c>
      <c r="B24" s="334">
        <v>177000</v>
      </c>
      <c r="C24" s="333"/>
      <c r="D24" s="333"/>
      <c r="G24" s="339"/>
    </row>
    <row r="25" spans="1:7" ht="15.75">
      <c r="A25" s="331" t="s">
        <v>681</v>
      </c>
      <c r="B25" s="334">
        <v>77265</v>
      </c>
      <c r="C25" s="333"/>
      <c r="D25" s="333"/>
      <c r="G25" s="339"/>
    </row>
    <row r="26" spans="1:7" ht="15.75">
      <c r="A26" s="331" t="s">
        <v>686</v>
      </c>
      <c r="B26" s="334">
        <v>307452</v>
      </c>
      <c r="C26" s="333"/>
      <c r="D26" s="333"/>
      <c r="G26" s="339"/>
    </row>
    <row r="27" spans="1:7" ht="15.75">
      <c r="A27" s="331"/>
      <c r="B27" s="334"/>
      <c r="C27" s="333"/>
      <c r="D27" s="338"/>
      <c r="E27" s="338"/>
      <c r="G27" s="340"/>
    </row>
    <row r="28" spans="1:10" ht="16.5" thickBot="1">
      <c r="A28" s="335" t="s">
        <v>687</v>
      </c>
      <c r="B28" s="336">
        <v>6717949</v>
      </c>
      <c r="C28" s="333"/>
      <c r="D28" s="333"/>
      <c r="G28" s="81"/>
      <c r="J28" s="337"/>
    </row>
    <row r="29" spans="1:7" ht="16.5" thickTop="1">
      <c r="A29" s="331"/>
      <c r="B29" s="334"/>
      <c r="C29" s="333"/>
      <c r="D29" s="333"/>
      <c r="G29" s="81"/>
    </row>
    <row r="30" spans="1:10" ht="15.75">
      <c r="A30" s="341" t="s">
        <v>688</v>
      </c>
      <c r="B30" s="334">
        <v>17</v>
      </c>
      <c r="C30" s="333"/>
      <c r="D30" s="333"/>
      <c r="J30" s="337"/>
    </row>
    <row r="31" spans="1:4" ht="15.75">
      <c r="A31" s="331"/>
      <c r="B31" s="334"/>
      <c r="C31" s="333"/>
      <c r="D31" s="333"/>
    </row>
    <row r="32" spans="1:4" ht="16.5" thickBot="1">
      <c r="A32" s="335" t="s">
        <v>689</v>
      </c>
      <c r="B32" s="336">
        <v>0</v>
      </c>
      <c r="C32" s="333"/>
      <c r="D32" s="333"/>
    </row>
    <row r="33" spans="1:4" ht="16.5" thickTop="1">
      <c r="A33" s="331"/>
      <c r="B33" s="334"/>
      <c r="C33" s="333"/>
      <c r="D33" s="333"/>
    </row>
    <row r="34" spans="1:4" ht="15.75">
      <c r="A34" s="331"/>
      <c r="B34" s="334"/>
      <c r="C34" s="333"/>
      <c r="D34" s="333"/>
    </row>
    <row r="35" spans="1:4" ht="21">
      <c r="A35" s="330" t="s">
        <v>690</v>
      </c>
      <c r="B35" s="330" t="s">
        <v>740</v>
      </c>
      <c r="C35" s="333"/>
      <c r="D35" s="333"/>
    </row>
    <row r="36" spans="1:3" ht="16.5" thickBot="1">
      <c r="A36" s="329"/>
      <c r="B36" s="328"/>
      <c r="C36" s="333"/>
    </row>
    <row r="37" spans="1:3" ht="15.75">
      <c r="A37" s="342" t="s">
        <v>691</v>
      </c>
      <c r="B37" s="343">
        <v>0.6291634990131719</v>
      </c>
      <c r="C37" s="333"/>
    </row>
    <row r="38" spans="1:3" ht="15.75">
      <c r="A38" s="344" t="s">
        <v>692</v>
      </c>
      <c r="B38" s="345">
        <v>0.1486349620495353</v>
      </c>
      <c r="C38" s="333"/>
    </row>
    <row r="39" spans="1:3" ht="15.75">
      <c r="A39" s="344" t="s">
        <v>693</v>
      </c>
      <c r="B39" s="345">
        <v>0.12730242376149584</v>
      </c>
      <c r="C39" s="333"/>
    </row>
    <row r="40" spans="1:3" ht="15.75">
      <c r="A40" s="344"/>
      <c r="B40" s="345"/>
      <c r="C40" s="333"/>
    </row>
    <row r="41" spans="1:3" ht="15.75">
      <c r="A41" s="344" t="s">
        <v>694</v>
      </c>
      <c r="B41" s="345">
        <v>0.905100884824203</v>
      </c>
      <c r="C41" s="333"/>
    </row>
    <row r="42" spans="1:3" ht="16.5" thickBot="1">
      <c r="A42" s="346" t="s">
        <v>695</v>
      </c>
      <c r="B42" s="347">
        <v>0.8257916656822082</v>
      </c>
      <c r="C42" s="333"/>
    </row>
    <row r="43" spans="1:3" ht="15.75">
      <c r="A43" s="333"/>
      <c r="B43" s="348"/>
      <c r="C43" s="333"/>
    </row>
    <row r="44" spans="1:3" ht="15.75">
      <c r="A44" s="319"/>
      <c r="B44" s="349"/>
      <c r="C44" s="333"/>
    </row>
    <row r="45" spans="1:3" ht="15.75">
      <c r="A45" s="319"/>
      <c r="B45" s="349"/>
      <c r="C45" s="333"/>
    </row>
    <row r="46" spans="1:3" ht="15.75">
      <c r="A46" s="319"/>
      <c r="B46" s="319"/>
      <c r="C46" s="333"/>
    </row>
    <row r="47" spans="1:3" ht="15.75">
      <c r="A47" s="319"/>
      <c r="B47" s="319"/>
      <c r="C47" s="333"/>
    </row>
    <row r="48" spans="1:3" ht="15.75">
      <c r="A48" s="320"/>
      <c r="B48" s="350"/>
      <c r="C48" s="333"/>
    </row>
    <row r="49" spans="1:4" ht="15.75">
      <c r="A49" s="320"/>
      <c r="B49" s="350"/>
      <c r="C49" s="333"/>
      <c r="D49" s="333"/>
    </row>
    <row r="50" spans="1:4" ht="15.75">
      <c r="A50" s="333"/>
      <c r="B50" s="351"/>
      <c r="C50" s="333"/>
      <c r="D50" s="333"/>
    </row>
    <row r="51" spans="1:4" ht="15.75">
      <c r="A51" s="333"/>
      <c r="B51" s="351"/>
      <c r="C51" s="333"/>
      <c r="D51" s="333"/>
    </row>
    <row r="52" spans="1:4" ht="15.75">
      <c r="A52" s="319"/>
      <c r="B52" s="320"/>
      <c r="C52" s="333"/>
      <c r="D52" s="333"/>
    </row>
    <row r="53" spans="1:4" ht="15.75">
      <c r="A53" s="319"/>
      <c r="B53" s="320"/>
      <c r="C53" s="333"/>
      <c r="D53" s="333"/>
    </row>
    <row r="54" spans="1:4" ht="15.75">
      <c r="A54" s="319"/>
      <c r="B54" s="320"/>
      <c r="C54" s="333"/>
      <c r="D54" s="333"/>
    </row>
    <row r="55" spans="1:4" ht="15.75">
      <c r="A55" s="319"/>
      <c r="B55" s="320"/>
      <c r="C55" s="333"/>
      <c r="D55" s="333"/>
    </row>
    <row r="56" spans="1:4" ht="15.75">
      <c r="A56" s="319"/>
      <c r="B56" s="320"/>
      <c r="C56" s="333"/>
      <c r="D56" s="333"/>
    </row>
    <row r="57" spans="1:2" ht="15.75">
      <c r="A57" s="319"/>
      <c r="B57" s="320"/>
    </row>
    <row r="58" spans="1:4" ht="15.75">
      <c r="A58" s="319"/>
      <c r="B58" s="320"/>
      <c r="C58" s="333"/>
      <c r="D58" s="333"/>
    </row>
    <row r="59" spans="1:4" ht="15.75">
      <c r="A59" s="333"/>
      <c r="B59" s="351"/>
      <c r="C59" s="333"/>
      <c r="D59" s="333"/>
    </row>
    <row r="60" spans="1:4" ht="15.75">
      <c r="A60" s="333"/>
      <c r="B60" s="351"/>
      <c r="C60" s="333"/>
      <c r="D60" s="333"/>
    </row>
    <row r="61" spans="1:4" ht="15.75">
      <c r="A61" s="333"/>
      <c r="B61" s="351"/>
      <c r="C61" s="333"/>
      <c r="D61" s="333"/>
    </row>
    <row r="62" spans="1:4" ht="15.75">
      <c r="A62" s="333"/>
      <c r="B62" s="351"/>
      <c r="C62" s="333"/>
      <c r="D62" s="333"/>
    </row>
    <row r="63" spans="1:4" ht="15.75">
      <c r="A63" s="333"/>
      <c r="B63" s="351"/>
      <c r="C63" s="333"/>
      <c r="D63" s="333"/>
    </row>
  </sheetData>
  <sheetProtection/>
  <conditionalFormatting sqref="B30">
    <cfRule type="cellIs" priority="1" dxfId="1" operator="lessThan">
      <formula>0</formula>
    </cfRule>
    <cfRule type="cellIs" priority="2" dxfId="0" operator="greaterThan">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
  <dimension ref="A1:B73"/>
  <sheetViews>
    <sheetView zoomScalePageLayoutView="0" workbookViewId="0" topLeftCell="A7">
      <selection activeCell="B5" sqref="B5"/>
    </sheetView>
  </sheetViews>
  <sheetFormatPr defaultColWidth="9.140625" defaultRowHeight="12.75"/>
  <cols>
    <col min="1" max="1" width="3.7109375" style="0" customWidth="1"/>
    <col min="2" max="2" width="82.421875" style="0" customWidth="1"/>
  </cols>
  <sheetData>
    <row r="1" ht="15.75">
      <c r="B1" s="50" t="s">
        <v>3</v>
      </c>
    </row>
    <row r="2" ht="15.75">
      <c r="B2" s="51"/>
    </row>
    <row r="3" spans="1:2" ht="15.75">
      <c r="A3" s="2" t="s">
        <v>4</v>
      </c>
      <c r="B3" s="52" t="s">
        <v>5</v>
      </c>
    </row>
    <row r="4" spans="1:2" ht="15.75">
      <c r="A4" s="3" t="s">
        <v>6</v>
      </c>
      <c r="B4" s="53" t="s">
        <v>7</v>
      </c>
    </row>
    <row r="5" spans="1:2" ht="63">
      <c r="A5" s="3" t="s">
        <v>8</v>
      </c>
      <c r="B5" s="53" t="s">
        <v>56</v>
      </c>
    </row>
    <row r="6" spans="1:2" ht="31.5">
      <c r="A6" s="3" t="s">
        <v>9</v>
      </c>
      <c r="B6" s="53" t="s">
        <v>57</v>
      </c>
    </row>
    <row r="7" spans="1:2" ht="15.75">
      <c r="A7" s="3" t="s">
        <v>10</v>
      </c>
      <c r="B7" s="53" t="s">
        <v>11</v>
      </c>
    </row>
    <row r="8" spans="1:2" ht="15.75">
      <c r="A8" s="3" t="s">
        <v>12</v>
      </c>
      <c r="B8" s="53" t="s">
        <v>13</v>
      </c>
    </row>
    <row r="9" spans="1:2" ht="20.25" customHeight="1">
      <c r="A9" s="3" t="s">
        <v>14</v>
      </c>
      <c r="B9" s="53" t="s">
        <v>15</v>
      </c>
    </row>
    <row r="10" spans="1:2" ht="15.75">
      <c r="A10" s="3" t="s">
        <v>16</v>
      </c>
      <c r="B10" s="53" t="s">
        <v>17</v>
      </c>
    </row>
    <row r="11" spans="1:2" ht="15.75">
      <c r="A11" s="3"/>
      <c r="B11" s="53"/>
    </row>
    <row r="12" spans="1:2" ht="15.75">
      <c r="A12" s="4" t="s">
        <v>18</v>
      </c>
      <c r="B12" s="54" t="s">
        <v>19</v>
      </c>
    </row>
    <row r="13" spans="1:2" ht="31.5">
      <c r="A13" s="3" t="s">
        <v>6</v>
      </c>
      <c r="B13" s="53" t="s">
        <v>55</v>
      </c>
    </row>
    <row r="14" spans="1:2" ht="15.75">
      <c r="A14" s="3" t="s">
        <v>597</v>
      </c>
      <c r="B14" s="194" t="s">
        <v>535</v>
      </c>
    </row>
    <row r="15" spans="1:2" ht="15.75">
      <c r="A15" s="3" t="s">
        <v>8</v>
      </c>
      <c r="B15" s="53" t="s">
        <v>46</v>
      </c>
    </row>
    <row r="16" spans="1:2" ht="15.75">
      <c r="A16" s="3" t="s">
        <v>9</v>
      </c>
      <c r="B16" s="53" t="s">
        <v>48</v>
      </c>
    </row>
    <row r="17" spans="1:2" ht="15.75">
      <c r="A17" s="3" t="s">
        <v>10</v>
      </c>
      <c r="B17" s="53" t="s">
        <v>49</v>
      </c>
    </row>
    <row r="18" spans="1:2" ht="15.75">
      <c r="A18" s="3" t="s">
        <v>12</v>
      </c>
      <c r="B18" s="53" t="s">
        <v>47</v>
      </c>
    </row>
    <row r="19" spans="1:2" ht="15.75">
      <c r="A19" s="3" t="s">
        <v>14</v>
      </c>
      <c r="B19" s="53"/>
    </row>
    <row r="20" spans="1:2" ht="15.75">
      <c r="A20" s="3" t="s">
        <v>16</v>
      </c>
      <c r="B20" s="53" t="s">
        <v>50</v>
      </c>
    </row>
    <row r="21" spans="1:2" ht="15.75">
      <c r="A21" s="3" t="s">
        <v>20</v>
      </c>
      <c r="B21" s="53" t="s">
        <v>45</v>
      </c>
    </row>
    <row r="22" spans="1:2" ht="15.75">
      <c r="A22" s="3" t="s">
        <v>21</v>
      </c>
      <c r="B22" s="53" t="s">
        <v>51</v>
      </c>
    </row>
    <row r="23" spans="1:2" ht="15.75">
      <c r="A23" s="3" t="s">
        <v>22</v>
      </c>
      <c r="B23" s="53" t="s">
        <v>554</v>
      </c>
    </row>
    <row r="24" spans="1:2" ht="78.75">
      <c r="A24" s="3" t="s">
        <v>23</v>
      </c>
      <c r="B24" s="53" t="s">
        <v>54</v>
      </c>
    </row>
    <row r="25" spans="1:2" ht="31.5">
      <c r="A25" s="3" t="s">
        <v>24</v>
      </c>
      <c r="B25" s="53" t="s">
        <v>63</v>
      </c>
    </row>
    <row r="26" spans="1:2" ht="15.75">
      <c r="A26" s="3" t="s">
        <v>25</v>
      </c>
      <c r="B26" s="53" t="s">
        <v>52</v>
      </c>
    </row>
    <row r="27" spans="1:2" ht="15.75">
      <c r="A27" s="3" t="s">
        <v>26</v>
      </c>
      <c r="B27" s="53" t="s">
        <v>53</v>
      </c>
    </row>
    <row r="28" spans="1:2" ht="12.75">
      <c r="A28" s="3"/>
      <c r="B28" s="3"/>
    </row>
    <row r="29" spans="1:2" ht="12.75">
      <c r="A29" s="4"/>
      <c r="B29" s="195" t="s">
        <v>536</v>
      </c>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4"/>
      <c r="B37" s="4"/>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row r="54" spans="1:2" ht="12.75">
      <c r="A54" s="3"/>
      <c r="B54" s="3"/>
    </row>
    <row r="55" spans="1:2" ht="12.75">
      <c r="A55" s="3"/>
      <c r="B55" s="3"/>
    </row>
    <row r="56" spans="1:2" ht="12.75">
      <c r="A56" s="3"/>
      <c r="B56" s="3"/>
    </row>
    <row r="57" spans="1:2" ht="12.75">
      <c r="A57" s="3"/>
      <c r="B57" s="3"/>
    </row>
    <row r="58" spans="1:2" ht="12.75">
      <c r="A58" s="3"/>
      <c r="B58" s="3"/>
    </row>
    <row r="59" spans="1:2" ht="12.75">
      <c r="A59" s="3"/>
      <c r="B59" s="3"/>
    </row>
    <row r="60" spans="1:2" ht="12.75">
      <c r="A60" s="3"/>
      <c r="B60" s="3"/>
    </row>
    <row r="61" spans="1:2" ht="12.75">
      <c r="A61" s="3"/>
      <c r="B61" s="3"/>
    </row>
    <row r="62" spans="1:2" ht="12.75">
      <c r="A62" s="3"/>
      <c r="B62" s="3"/>
    </row>
    <row r="63" spans="1:2" ht="12.75">
      <c r="A63" s="3"/>
      <c r="B63" s="3"/>
    </row>
    <row r="64" spans="1:2" ht="12.75">
      <c r="A64" s="3"/>
      <c r="B64" s="3"/>
    </row>
    <row r="65" spans="1:2" ht="12.75">
      <c r="A65" s="3"/>
      <c r="B65" s="3"/>
    </row>
    <row r="66" spans="1:2" ht="12.75">
      <c r="A66" s="3"/>
      <c r="B66" s="3"/>
    </row>
    <row r="67" spans="1:2" ht="12.75">
      <c r="A67" s="3"/>
      <c r="B67" s="3"/>
    </row>
    <row r="68" spans="1:2" ht="12.75">
      <c r="A68" s="3"/>
      <c r="B68" s="3"/>
    </row>
    <row r="69" spans="1:2" ht="12.75">
      <c r="A69" s="3"/>
      <c r="B69" s="3"/>
    </row>
    <row r="70" spans="1:2" ht="12.75">
      <c r="A70" s="3"/>
      <c r="B70" s="3"/>
    </row>
    <row r="71" spans="1:2" ht="12.75">
      <c r="A71" s="3"/>
      <c r="B71" s="3"/>
    </row>
    <row r="72" spans="1:2" ht="12.75">
      <c r="A72" s="3"/>
      <c r="B72" s="3"/>
    </row>
    <row r="73" spans="1:2" ht="12.75">
      <c r="A73" s="3"/>
      <c r="B73" s="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LAN Works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L.Smith</cp:lastModifiedBy>
  <cp:lastPrinted>2016-01-19T12:01:56Z</cp:lastPrinted>
  <dcterms:created xsi:type="dcterms:W3CDTF">2005-10-27T21:29:27Z</dcterms:created>
  <dcterms:modified xsi:type="dcterms:W3CDTF">2016-01-19T13:39:44Z</dcterms:modified>
  <cp:category/>
  <cp:version/>
  <cp:contentType/>
  <cp:contentStatus/>
</cp:coreProperties>
</file>