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drawings/drawing2.xml" ContentType="application/vnd.openxmlformats-officedocument.drawing+xml"/>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7A2D7E96-6E34-419A-AE5F-296B3A7E7977}"/>
  <workbookPr codeName="ThisWorkbook"/>
  <mc:AlternateContent xmlns:mc="http://schemas.openxmlformats.org/markup-compatibility/2006">
    <mc:Choice Requires="x15">
      <x15ac:absPath xmlns:x15ac="http://schemas.microsoft.com/office/spreadsheetml/2010/11/ac" url="\\shssan1\StaffData$\k.whordley\Karen Whordley\Governors\Full Governing Body\Papers for 25th March 2021\"/>
    </mc:Choice>
  </mc:AlternateContent>
  <workbookProtection workbookPassword="9676" lockStructure="1"/>
  <bookViews>
    <workbookView xWindow="0" yWindow="0" windowWidth="28800" windowHeight="12330" tabRatio="925"/>
  </bookViews>
  <sheets>
    <sheet name="Enable Macros" sheetId="25" r:id="rId1"/>
    <sheet name="Introduction and outcomes" sheetId="17" state="veryHidden" r:id="rId2"/>
    <sheet name="Checklist" sheetId="21" state="veryHidden" r:id="rId3"/>
    <sheet name="Dashboard" sheetId="23" state="veryHidden" r:id="rId4"/>
    <sheet name="Data_Store" sheetId="27" state="veryHidden" r:id="rId5"/>
    <sheet name="File_Statistics" sheetId="26" state="veryHidden" r:id="rId6"/>
    <sheet name="Optional - input raw data" sheetId="24" state="veryHidden" r:id="rId7"/>
    <sheet name="RAG rating data for your school" sheetId="19" state="veryHidden" r:id="rId8"/>
    <sheet name="RAG rating data for all schools" sheetId="20" state="veryHidden" r:id="rId9"/>
    <sheet name="RAG_Calculation" sheetId="22" state="veryHidden" r:id="rId10"/>
  </sheets>
  <functionGroups builtInGroupCount="18"/>
  <definedNames>
    <definedName name="A">RAG_Calculation!$C$9:$I$21</definedName>
    <definedName name="Actuaries" localSheetId="2">#REF!</definedName>
    <definedName name="Actuaries" localSheetId="1">#REF!</definedName>
    <definedName name="APL">'RAG rating data for all schools'!$F$457:$L$468</definedName>
    <definedName name="APNL">'RAG rating data for all schools'!$F$471:$L$482</definedName>
    <definedName name="ATL">'RAG rating data for all schools'!$F$485:$L$497</definedName>
    <definedName name="ATNL">'RAG rating data for all schools'!$F$500:$L$512</definedName>
    <definedName name="Average">RAG_Calculation!$B$87</definedName>
    <definedName name="B">RAG_Calculation!#REF!</definedName>
    <definedName name="Below">RAG_Calculation!$B$86</definedName>
    <definedName name="CC">RAG_Calculation!#REF!</definedName>
    <definedName name="D">RAG_Calculation!#REF!</definedName>
    <definedName name="E">RAG_Calculation!#REF!</definedName>
    <definedName name="Empty">Dashboard!$L$1</definedName>
    <definedName name="F">RAG_Calculation!#REF!</definedName>
    <definedName name="Full">Dashboard!$I$1</definedName>
    <definedName name="G">RAG_Calculation!#REF!</definedName>
    <definedName name="Good">RAG_Calculation!$B$82</definedName>
    <definedName name="H">RAG_Calculation!#REF!</definedName>
    <definedName name="High">RAG_Calculation!$A$82</definedName>
    <definedName name="Higher">RAG_Calculation!$B$77</definedName>
    <definedName name="Highest10">RAG_Calculation!$A$79</definedName>
    <definedName name="Highest20">RAG_Calculation!$A$78</definedName>
    <definedName name="I">RAG_Calculation!#REF!</definedName>
    <definedName name="Inadequate">RAG_Calculation!$B$80</definedName>
    <definedName name="Inline">RAG_Calculation!$A$76</definedName>
    <definedName name="Inline2">RAG_Calculation!$B$76</definedName>
    <definedName name="J">RAG_Calculation!#REF!</definedName>
    <definedName name="K">RAG_Calculation!#REF!</definedName>
    <definedName name="L">RAG_Calculation!#REF!</definedName>
    <definedName name="Low">RAG_Calculation!$A$84</definedName>
    <definedName name="Lower">RAG_Calculation!$B$75</definedName>
    <definedName name="Lowest10">RAG_Calculation!$A$74</definedName>
    <definedName name="Lowest20">RAG_Calculation!$A$75</definedName>
    <definedName name="M">RAG_Calculation!#REF!</definedName>
    <definedName name="Medium">RAG_Calculation!$A$83</definedName>
    <definedName name="Middle20">RAG_Calculation!$A$77</definedName>
    <definedName name="Muchhigher">RAG_Calculation!$B$78</definedName>
    <definedName name="MuchLower">RAG_Calculation!$B$74</definedName>
    <definedName name="N">RAG_Calculation!#REF!</definedName>
    <definedName name="NL">'RAG rating data for all schools'!$F$515:$L$526</definedName>
    <definedName name="NNL">'RAG rating data for all schools'!$F$529:$L$540</definedName>
    <definedName name="O">RAG_Calculation!#REF!</definedName>
    <definedName name="OpEmpty">'Optional - input raw data'!$J$1</definedName>
    <definedName name="OpFull">'Optional - input raw data'!$G$1</definedName>
    <definedName name="Outstanding">RAG_Calculation!$B$83</definedName>
    <definedName name="P">RAG_Calculation!#REF!</definedName>
    <definedName name="PL">'RAG rating data for all schools'!$F$544:$L$544</definedName>
    <definedName name="PLH">'RAG rating data for all schools'!$F$159:$L$170</definedName>
    <definedName name="PLL">'RAG rating data for all schools'!$F$47:$L$58</definedName>
    <definedName name="PLM">'RAG rating data for all schools'!$F$103:$L$114</definedName>
    <definedName name="PMH">'RAG rating data for all schools'!$F$145:$L$156</definedName>
    <definedName name="PML">'RAG rating data for all schools'!$F$33:$L$44</definedName>
    <definedName name="PMM">'RAG rating data for all schools'!$F$89:$L$100</definedName>
    <definedName name="PNL">'RAG rating data for all schools'!$F$547:$L$547</definedName>
    <definedName name="_xlnm.Print_Area" localSheetId="2">Checklist!$B$2:$R$71</definedName>
    <definedName name="_xlnm.Print_Area" localSheetId="3">Dashboard!$B$2:$I$84</definedName>
    <definedName name="_xlnm.Print_Area" localSheetId="1">'Introduction and outcomes'!$B$2:$U$21</definedName>
    <definedName name="_xlnm.Print_Area" localSheetId="6">'Optional - input raw data'!$B$2:$G$66</definedName>
    <definedName name="_xlnm.Print_Titles" localSheetId="3">Dashboard!$B:$E</definedName>
    <definedName name="_xlnm.Print_Titles" localSheetId="6">'Optional - input raw data'!$B:$E</definedName>
    <definedName name="PSH">'RAG rating data for all schools'!$F$131:$L$142</definedName>
    <definedName name="PSL">'RAG rating data for all schools'!$F$19:$L$30</definedName>
    <definedName name="PSM">'RAG rating data for all schools'!$F$75:$L$86</definedName>
    <definedName name="PVSH">'RAG rating data for all schools'!$F$117:$L$128</definedName>
    <definedName name="PVSL">'RAG rating data for all schools'!$F$5:$L$16</definedName>
    <definedName name="PVSM">'RAG rating data for all schools'!$F$61:$L$72</definedName>
    <definedName name="Q">RAG_Calculation!#REF!</definedName>
    <definedName name="RI">RAG_Calculation!$B$81</definedName>
    <definedName name="RR">RAG_Calculation!#REF!</definedName>
    <definedName name="S">RAG_Calculation!#REF!</definedName>
    <definedName name="SchoolList">Data_Store!$B$1</definedName>
    <definedName name="SchooolList">Data_Store!$B$1</definedName>
    <definedName name="SL">'RAG rating data for all schools'!$F$556:$L$556</definedName>
    <definedName name="SLH">'RAG rating data for all schools'!$F$413:$L$424</definedName>
    <definedName name="SLL">'RAG rating data for all schools'!$F$245:$L$256</definedName>
    <definedName name="SLM">'RAG rating data for all schools'!$F$329:$L$340</definedName>
    <definedName name="SMH">'RAG rating data for all schools'!$F$399:$L$410</definedName>
    <definedName name="SML">'RAG rating data for all schools'!$F$231:$L$242</definedName>
    <definedName name="SMM">'RAG rating data for all schools'!$F$315:$L$326</definedName>
    <definedName name="SNL">'RAG rating data for all schools'!$F$559:$L$559</definedName>
    <definedName name="SPL">'RAG rating data for all schools'!$F$429:$L$440</definedName>
    <definedName name="SPNL">'RAG rating data for all schools'!$F$443:$L$454</definedName>
    <definedName name="SSH">'RAG rating data for all schools'!$F$385:$L$396</definedName>
    <definedName name="SSL">'RAG rating data for all schools'!$F$217:$L$228</definedName>
    <definedName name="SSLH">'RAG rating data for all schools'!$F$371:$L$382</definedName>
    <definedName name="SSLL">'RAG rating data for all schools'!$F$203:$L$214</definedName>
    <definedName name="SSLM">'RAG rating data for all schools'!$F$287:$L$298</definedName>
    <definedName name="SSLo">'RAG rating data for all schools'!$F$550:$L$550</definedName>
    <definedName name="SSM">'RAG rating data for all schools'!$F$301:$L$312</definedName>
    <definedName name="SSMH">'RAG rating data for all schools'!$F$357:$L$368</definedName>
    <definedName name="SSML">'RAG rating data for all schools'!$F$189:$L$200</definedName>
    <definedName name="SSMM">'RAG rating data for all schools'!$F$273:$L$284</definedName>
    <definedName name="SSNL">'RAG rating data for all schools'!$F$553:$L$553</definedName>
    <definedName name="SSSH">'RAG rating data for all schools'!$F$343:$L$354</definedName>
    <definedName name="SSSL">'RAG rating data for all schools'!$F$175:$L$186</definedName>
    <definedName name="SSSM">'RAG rating data for all schools'!$F$259:$L$270</definedName>
    <definedName name="T">RAG_Calculation!#REF!</definedName>
    <definedName name="Wellabove">RAG_Calculation!$B$88</definedName>
    <definedName name="Wellbelow">RAG_Calculation!$B$85</definedName>
  </definedNames>
  <calcPr calcId="152511" calcMode="manual"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7" i="19" l="1"/>
  <c r="Q30" i="22" l="1"/>
  <c r="N72" i="23" l="1"/>
  <c r="N71" i="23"/>
  <c r="N70" i="23"/>
  <c r="N69" i="23"/>
  <c r="H70" i="23"/>
  <c r="H69" i="23"/>
  <c r="M74" i="19" l="1"/>
  <c r="M51" i="19"/>
  <c r="M48" i="19"/>
  <c r="J74" i="19"/>
  <c r="J51" i="19"/>
  <c r="J48" i="19"/>
  <c r="H74" i="19"/>
  <c r="H51" i="19"/>
  <c r="H48" i="19"/>
  <c r="E74" i="19"/>
  <c r="E51" i="19"/>
  <c r="E48" i="19"/>
  <c r="O71" i="19"/>
  <c r="E71" i="19" l="1"/>
  <c r="E72" i="19"/>
  <c r="J71" i="19"/>
  <c r="H71" i="19"/>
  <c r="J72" i="19"/>
  <c r="H72" i="19"/>
  <c r="M71" i="19"/>
  <c r="H72" i="23"/>
  <c r="H71" i="23"/>
  <c r="L21" i="23" l="1"/>
  <c r="L20" i="23"/>
  <c r="H30" i="22" l="1"/>
  <c r="G30" i="22" l="1"/>
  <c r="B8" i="19" l="1"/>
  <c r="N68" i="23"/>
  <c r="N63" i="23"/>
  <c r="N62" i="23"/>
  <c r="N54" i="23"/>
  <c r="F49" i="22" l="1"/>
  <c r="D59" i="22" l="1"/>
  <c r="D67" i="22"/>
  <c r="D66" i="22"/>
  <c r="D60" i="22"/>
  <c r="D57" i="22"/>
  <c r="C5" i="22"/>
  <c r="J30" i="22" l="1"/>
  <c r="O30" i="22" s="1"/>
  <c r="I30" i="22"/>
  <c r="N30" i="22" l="1"/>
  <c r="K30" i="22"/>
  <c r="B9" i="19" s="1"/>
  <c r="L50" i="23" l="1"/>
  <c r="F50" i="23" l="1"/>
  <c r="Q86" i="19" l="1"/>
  <c r="L86" i="19"/>
  <c r="G86" i="19"/>
  <c r="D86" i="19"/>
  <c r="E38" i="22" l="1"/>
  <c r="L30" i="22" s="1"/>
  <c r="B10" i="19" s="1"/>
  <c r="I72" i="19" l="1"/>
  <c r="E39" i="22"/>
  <c r="F39" i="22"/>
  <c r="E40" i="22"/>
  <c r="F40" i="22"/>
  <c r="F38" i="22"/>
  <c r="C7" i="22" l="1"/>
  <c r="C6" i="22" l="1"/>
  <c r="H68" i="23"/>
  <c r="C9" i="22"/>
  <c r="E19" i="19" l="1"/>
  <c r="H19" i="19"/>
  <c r="D30" i="24"/>
  <c r="B91" i="19" l="1"/>
  <c r="B97" i="19"/>
  <c r="B88" i="19"/>
  <c r="B77" i="19"/>
  <c r="B71" i="19"/>
  <c r="B94" i="19"/>
  <c r="J94" i="19" l="1"/>
  <c r="H94" i="19"/>
  <c r="R94" i="19"/>
  <c r="M94" i="19"/>
  <c r="O94" i="19"/>
  <c r="E94" i="19"/>
  <c r="R88" i="19"/>
  <c r="M88" i="19"/>
  <c r="O88" i="19"/>
  <c r="E88" i="19"/>
  <c r="J88" i="19"/>
  <c r="H88" i="19"/>
  <c r="H97" i="19"/>
  <c r="R97" i="19"/>
  <c r="M97" i="19"/>
  <c r="O97" i="19"/>
  <c r="E97" i="19"/>
  <c r="J97" i="19"/>
  <c r="O91" i="19"/>
  <c r="E91" i="19"/>
  <c r="J91" i="19"/>
  <c r="H91" i="19"/>
  <c r="R91" i="19"/>
  <c r="M91" i="19"/>
  <c r="Q77" i="19"/>
  <c r="I77" i="19"/>
  <c r="I78" i="19"/>
  <c r="L78" i="19"/>
  <c r="S77" i="19"/>
  <c r="L77" i="19"/>
  <c r="N78" i="19"/>
  <c r="G77" i="19"/>
  <c r="G78" i="19"/>
  <c r="N77" i="19"/>
  <c r="N97" i="19" l="1"/>
  <c r="I97" i="19"/>
  <c r="I94" i="19"/>
  <c r="N91" i="19"/>
  <c r="Q88" i="19"/>
  <c r="N94" i="19" l="1"/>
  <c r="I71" i="19"/>
  <c r="D94" i="19"/>
  <c r="G91" i="19"/>
  <c r="I91" i="19"/>
  <c r="G72" i="19"/>
  <c r="D91" i="19"/>
  <c r="Q91" i="19"/>
  <c r="D71" i="19"/>
  <c r="L91" i="19"/>
  <c r="D97" i="19"/>
  <c r="D77" i="19"/>
  <c r="G71" i="19"/>
  <c r="N71" i="19" s="1"/>
  <c r="L71" i="19"/>
  <c r="D72" i="19"/>
  <c r="D78" i="19"/>
  <c r="D88" i="19"/>
  <c r="I88" i="19"/>
  <c r="N88" i="19"/>
  <c r="G94" i="19"/>
  <c r="L94" i="19"/>
  <c r="Q94" i="19"/>
  <c r="G97" i="19"/>
  <c r="L97" i="19"/>
  <c r="Q97" i="19"/>
  <c r="G88" i="19"/>
  <c r="L88" i="19"/>
  <c r="I21" i="22"/>
  <c r="H21" i="22"/>
  <c r="F21" i="22"/>
  <c r="G21" i="22"/>
  <c r="E21" i="22"/>
  <c r="C21" i="22"/>
  <c r="D21" i="22"/>
  <c r="O59" i="19" l="1"/>
  <c r="R59" i="19"/>
  <c r="M60" i="19"/>
  <c r="T59" i="19"/>
  <c r="E59" i="19"/>
  <c r="H59" i="19"/>
  <c r="O60" i="19"/>
  <c r="H60" i="19"/>
  <c r="J60" i="19"/>
  <c r="E60" i="19"/>
  <c r="M59" i="19"/>
  <c r="J59" i="19"/>
  <c r="D62" i="22"/>
  <c r="F16" i="22"/>
  <c r="G11" i="22"/>
  <c r="E18" i="22"/>
  <c r="F13" i="22"/>
  <c r="H14" i="22"/>
  <c r="E15" i="22"/>
  <c r="I13" i="22"/>
  <c r="G9" i="22"/>
  <c r="E9" i="22"/>
  <c r="H17" i="22"/>
  <c r="H16" i="22"/>
  <c r="C15" i="22"/>
  <c r="I18" i="22"/>
  <c r="C19" i="22"/>
  <c r="H19" i="22"/>
  <c r="G15" i="22"/>
  <c r="H13" i="22"/>
  <c r="C18" i="22"/>
  <c r="F11" i="22"/>
  <c r="I9" i="22"/>
  <c r="E17" i="22"/>
  <c r="I11" i="22"/>
  <c r="H18" i="22"/>
  <c r="H10" i="22"/>
  <c r="I19" i="22"/>
  <c r="D19" i="22"/>
  <c r="H12" i="22"/>
  <c r="E11" i="22"/>
  <c r="G17" i="22"/>
  <c r="F12" i="22"/>
  <c r="F10" i="22"/>
  <c r="F15" i="22"/>
  <c r="I17" i="22"/>
  <c r="D18" i="22"/>
  <c r="F9" i="22"/>
  <c r="F18" i="22"/>
  <c r="G18" i="22"/>
  <c r="E19" i="22"/>
  <c r="I10" i="22"/>
  <c r="F17" i="22"/>
  <c r="I14" i="22"/>
  <c r="G19" i="22"/>
  <c r="D15" i="22"/>
  <c r="F19" i="22"/>
  <c r="H11" i="22"/>
  <c r="H9" i="22"/>
  <c r="I12" i="22"/>
  <c r="F14" i="22"/>
  <c r="E10" i="22"/>
  <c r="D9" i="22"/>
  <c r="I16" i="22"/>
  <c r="M68" i="19" l="1"/>
  <c r="J68" i="19"/>
  <c r="H66" i="19"/>
  <c r="O66" i="19"/>
  <c r="T62" i="19"/>
  <c r="M62" i="19"/>
  <c r="T65" i="19"/>
  <c r="M66" i="19"/>
  <c r="J66" i="19"/>
  <c r="E66" i="19"/>
  <c r="M31" i="19"/>
  <c r="H31" i="19"/>
  <c r="E31" i="19"/>
  <c r="J31" i="19"/>
  <c r="E65" i="19"/>
  <c r="H65" i="19"/>
  <c r="M26" i="19"/>
  <c r="R25" i="19"/>
  <c r="M65" i="19"/>
  <c r="J65" i="19"/>
  <c r="R65" i="19"/>
  <c r="O65" i="19"/>
  <c r="E34" i="19"/>
  <c r="J34" i="19"/>
  <c r="R19" i="19"/>
  <c r="O19" i="19"/>
  <c r="H20" i="19"/>
  <c r="O20" i="19"/>
  <c r="H22" i="19"/>
  <c r="O22" i="19"/>
  <c r="J22" i="19"/>
  <c r="E22" i="19"/>
  <c r="O37" i="19"/>
  <c r="R37" i="19"/>
  <c r="M25" i="19"/>
  <c r="T25" i="19"/>
  <c r="M23" i="19"/>
  <c r="R22" i="19"/>
  <c r="H40" i="19"/>
  <c r="M40" i="19"/>
  <c r="H68" i="19"/>
  <c r="E68" i="19"/>
  <c r="O62" i="19"/>
  <c r="H62" i="19"/>
  <c r="H69" i="19"/>
  <c r="O69" i="19"/>
  <c r="T19" i="19"/>
  <c r="M20" i="19"/>
  <c r="O25" i="19"/>
  <c r="H25" i="19"/>
  <c r="R62" i="19"/>
  <c r="M63" i="19"/>
  <c r="E25" i="19"/>
  <c r="J25" i="19"/>
  <c r="M28" i="19"/>
  <c r="H28" i="19"/>
  <c r="J28" i="19"/>
  <c r="E28" i="19"/>
  <c r="H37" i="19"/>
  <c r="E37" i="19"/>
  <c r="E62" i="19"/>
  <c r="J62" i="19"/>
  <c r="J20" i="19"/>
  <c r="E20" i="19"/>
  <c r="J40" i="19"/>
  <c r="E40" i="19"/>
  <c r="T68" i="19"/>
  <c r="M69" i="19"/>
  <c r="M34" i="19"/>
  <c r="H34" i="19"/>
  <c r="T37" i="19"/>
  <c r="M38" i="19"/>
  <c r="J69" i="19"/>
  <c r="E69" i="19"/>
  <c r="J37" i="19"/>
  <c r="M37" i="19"/>
  <c r="R68" i="19"/>
  <c r="O68" i="19"/>
  <c r="M19" i="19"/>
  <c r="J19" i="19"/>
  <c r="D49" i="22"/>
  <c r="D55" i="22"/>
  <c r="D52" i="22"/>
  <c r="D53" i="22"/>
  <c r="D64" i="22"/>
  <c r="D65" i="22"/>
  <c r="D51" i="22"/>
  <c r="D56" i="22"/>
  <c r="D63" i="22"/>
  <c r="D54" i="22"/>
  <c r="C20" i="22"/>
  <c r="G10" i="22"/>
  <c r="I20" i="22"/>
  <c r="H20" i="22"/>
  <c r="G20" i="22"/>
  <c r="D20" i="22"/>
  <c r="F20" i="22"/>
  <c r="E20" i="22"/>
  <c r="E77" i="19" l="1"/>
  <c r="H77" i="19"/>
  <c r="T77" i="19"/>
  <c r="M78" i="19"/>
  <c r="R77" i="19"/>
  <c r="O77" i="19"/>
  <c r="J78" i="19"/>
  <c r="E78" i="19"/>
  <c r="M77" i="19"/>
  <c r="J77" i="19"/>
  <c r="M22" i="19"/>
  <c r="T22" i="19"/>
  <c r="O78" i="19"/>
  <c r="H78" i="19"/>
  <c r="D50" i="22"/>
  <c r="D68" i="22"/>
</calcChain>
</file>

<file path=xl/sharedStrings.xml><?xml version="1.0" encoding="utf-8"?>
<sst xmlns="http://schemas.openxmlformats.org/spreadsheetml/2006/main" count="2676" uniqueCount="457">
  <si>
    <t>Average class size</t>
  </si>
  <si>
    <t>Energy</t>
  </si>
  <si>
    <t>Teaching staff</t>
  </si>
  <si>
    <t>Education support staff</t>
  </si>
  <si>
    <t>Pupil to teacher ratio</t>
  </si>
  <si>
    <t>Administrative and clerical staff</t>
  </si>
  <si>
    <t>School name:</t>
  </si>
  <si>
    <t>Ofsted rating</t>
  </si>
  <si>
    <t>Progress 8 score</t>
  </si>
  <si>
    <t>Progress score in reading</t>
  </si>
  <si>
    <t>Progress score in writing</t>
  </si>
  <si>
    <t>Progress score in maths</t>
  </si>
  <si>
    <t>A. Governance</t>
  </si>
  <si>
    <t>Comments, evidence and proposed actions</t>
  </si>
  <si>
    <t>Pupil to adult ratio</t>
  </si>
  <si>
    <t>Phase</t>
  </si>
  <si>
    <t>Phase:</t>
  </si>
  <si>
    <t>Region:</t>
  </si>
  <si>
    <t>Number of pupils:</t>
  </si>
  <si>
    <t>FSM</t>
  </si>
  <si>
    <t>Primary</t>
  </si>
  <si>
    <t>All-through</t>
  </si>
  <si>
    <t>Rating against
thresholds</t>
  </si>
  <si>
    <r>
      <t xml:space="preserve">Spend on </t>
    </r>
    <r>
      <rPr>
        <b/>
        <sz val="12"/>
        <color theme="1"/>
        <rFont val="Arial"/>
        <family val="2"/>
      </rPr>
      <t>teaching staff</t>
    </r>
    <r>
      <rPr>
        <sz val="12"/>
        <color theme="1"/>
        <rFont val="Arial"/>
        <family val="2"/>
      </rPr>
      <t xml:space="preserve"> as a percentage of total expenditure</t>
    </r>
  </si>
  <si>
    <r>
      <t xml:space="preserve">Spend on </t>
    </r>
    <r>
      <rPr>
        <b/>
        <sz val="12"/>
        <color theme="1"/>
        <rFont val="Arial"/>
        <family val="2"/>
      </rPr>
      <t>supply staff</t>
    </r>
    <r>
      <rPr>
        <sz val="12"/>
        <color theme="1"/>
        <rFont val="Arial"/>
        <family val="2"/>
      </rPr>
      <t xml:space="preserve"> as a percentage of total expenditure</t>
    </r>
  </si>
  <si>
    <r>
      <t xml:space="preserve">Spend on </t>
    </r>
    <r>
      <rPr>
        <b/>
        <sz val="12"/>
        <color theme="1"/>
        <rFont val="Arial"/>
        <family val="2"/>
      </rPr>
      <t>education support staff</t>
    </r>
    <r>
      <rPr>
        <sz val="12"/>
        <color theme="1"/>
        <rFont val="Arial"/>
        <family val="2"/>
      </rPr>
      <t xml:space="preserve"> as a percentage of total expenditure</t>
    </r>
  </si>
  <si>
    <r>
      <t xml:space="preserve">Spend on </t>
    </r>
    <r>
      <rPr>
        <b/>
        <sz val="12"/>
        <color theme="1"/>
        <rFont val="Arial"/>
        <family val="2"/>
      </rPr>
      <t>administrative and clerical staff</t>
    </r>
    <r>
      <rPr>
        <sz val="12"/>
        <color theme="1"/>
        <rFont val="Arial"/>
        <family val="2"/>
      </rPr>
      <t xml:space="preserve"> as a percentage of total expenditure</t>
    </r>
  </si>
  <si>
    <r>
      <t xml:space="preserve">Spend on </t>
    </r>
    <r>
      <rPr>
        <b/>
        <sz val="12"/>
        <color theme="1"/>
        <rFont val="Arial"/>
        <family val="2"/>
      </rPr>
      <t>other staff costs</t>
    </r>
    <r>
      <rPr>
        <sz val="12"/>
        <color theme="1"/>
        <rFont val="Arial"/>
        <family val="2"/>
      </rPr>
      <t xml:space="preserve"> as a percentage of total expenditure</t>
    </r>
  </si>
  <si>
    <r>
      <t xml:space="preserve">Spend on </t>
    </r>
    <r>
      <rPr>
        <b/>
        <sz val="12"/>
        <color theme="1"/>
        <rFont val="Arial"/>
        <family val="2"/>
      </rPr>
      <t>premises (including staff costs)</t>
    </r>
    <r>
      <rPr>
        <sz val="12"/>
        <color theme="1"/>
        <rFont val="Arial"/>
        <family val="2"/>
      </rPr>
      <t xml:space="preserve"> as a percentage of total expenditure</t>
    </r>
  </si>
  <si>
    <t>Other spending as a percentage of total expenditure (balancing line)</t>
  </si>
  <si>
    <r>
      <t xml:space="preserve">Spend on </t>
    </r>
    <r>
      <rPr>
        <b/>
        <sz val="12"/>
        <color theme="1"/>
        <rFont val="Arial"/>
        <family val="2"/>
      </rPr>
      <t>energy</t>
    </r>
    <r>
      <rPr>
        <sz val="12"/>
        <color theme="1"/>
        <rFont val="Arial"/>
        <family val="2"/>
      </rPr>
      <t xml:space="preserve"> as a percentage of total expenditure</t>
    </r>
  </si>
  <si>
    <r>
      <t xml:space="preserve">In-year balance as a percentage of </t>
    </r>
    <r>
      <rPr>
        <sz val="12"/>
        <rFont val="Arial"/>
        <family val="2"/>
      </rPr>
      <t>total income</t>
    </r>
  </si>
  <si>
    <t>Average teacher cost (£)</t>
  </si>
  <si>
    <t>Senior leaders as a percentage of workforce</t>
  </si>
  <si>
    <t>Teacher contact ratio (less than 1.0)</t>
  </si>
  <si>
    <t>Predicted percentage pupil number change in 3-5 years</t>
  </si>
  <si>
    <t>C. Reserves / balances as a percentage of total income</t>
  </si>
  <si>
    <t>D. School characteristics</t>
  </si>
  <si>
    <t>E. Outcomes</t>
  </si>
  <si>
    <t>Signature:</t>
  </si>
  <si>
    <r>
      <t>Spend on</t>
    </r>
    <r>
      <rPr>
        <b/>
        <sz val="12"/>
        <color theme="1"/>
        <rFont val="Arial"/>
        <family val="2"/>
      </rPr>
      <t xml:space="preserve"> teaching resources</t>
    </r>
    <r>
      <rPr>
        <sz val="12"/>
        <color theme="1"/>
        <rFont val="Arial"/>
        <family val="2"/>
      </rPr>
      <t xml:space="preserve"> as a percentage of total expenditure</t>
    </r>
  </si>
  <si>
    <r>
      <t xml:space="preserve">Revenue reserve as a percentage of </t>
    </r>
    <r>
      <rPr>
        <sz val="12"/>
        <rFont val="Arial"/>
        <family val="2"/>
      </rPr>
      <t>total income</t>
    </r>
  </si>
  <si>
    <t>Full name of signatory:</t>
  </si>
  <si>
    <t>Guidance</t>
  </si>
  <si>
    <t>[enter text]</t>
  </si>
  <si>
    <t>F: Optional commentary</t>
  </si>
  <si>
    <t>Total expenditure</t>
  </si>
  <si>
    <t>Examination fees</t>
  </si>
  <si>
    <t>Supply teaching staff</t>
  </si>
  <si>
    <t>Premises staff</t>
  </si>
  <si>
    <t>Catering staff</t>
  </si>
  <si>
    <t>Cost of other staff</t>
  </si>
  <si>
    <t>Indirect employee expenses</t>
  </si>
  <si>
    <t>Staff development and training</t>
  </si>
  <si>
    <t>E10</t>
  </si>
  <si>
    <t>Supply teacher insurance</t>
  </si>
  <si>
    <t>E11</t>
  </si>
  <si>
    <t>Staff-related insurance</t>
  </si>
  <si>
    <t>E13</t>
  </si>
  <si>
    <t>E14</t>
  </si>
  <si>
    <t>Cleaning and caretaking</t>
  </si>
  <si>
    <t>E15</t>
  </si>
  <si>
    <t>Water and sewerage</t>
  </si>
  <si>
    <t>E16</t>
  </si>
  <si>
    <t>E17</t>
  </si>
  <si>
    <t>E18</t>
  </si>
  <si>
    <t>Other occupation costs</t>
  </si>
  <si>
    <t>E19</t>
  </si>
  <si>
    <t>E21</t>
  </si>
  <si>
    <t>E22</t>
  </si>
  <si>
    <t>E23</t>
  </si>
  <si>
    <t>Other insurance premiums</t>
  </si>
  <si>
    <t>E24</t>
  </si>
  <si>
    <t>Special facilities</t>
  </si>
  <si>
    <t>E25</t>
  </si>
  <si>
    <t>Catering supplies</t>
  </si>
  <si>
    <t>E26</t>
  </si>
  <si>
    <t>Agency supply teaching staff</t>
  </si>
  <si>
    <t>E28</t>
  </si>
  <si>
    <t>E29</t>
  </si>
  <si>
    <t>E30</t>
  </si>
  <si>
    <t>E31</t>
  </si>
  <si>
    <t>E32</t>
  </si>
  <si>
    <t>Total income</t>
  </si>
  <si>
    <t>Full time equivalent of teachers in the leadership group</t>
  </si>
  <si>
    <t>Full time equivalent of total school workforce</t>
  </si>
  <si>
    <t>Revenue balances (committed and uncommitted)</t>
  </si>
  <si>
    <t>Raw data form</t>
  </si>
  <si>
    <t>Spend on teaching staff as a percentage of total expenditure</t>
  </si>
  <si>
    <t>Spend on supply staff as a percentage of total expenditure</t>
  </si>
  <si>
    <t>Spend on education support staff as a percentage of total expenditure</t>
  </si>
  <si>
    <t>Spend on administrative and clerical staff as a percentage of total expenditure</t>
  </si>
  <si>
    <t>Spend on other staff costs as a percentage of total expenditure</t>
  </si>
  <si>
    <t>Spend on premises (including staff costs) as a percentage of total expenditure</t>
  </si>
  <si>
    <t>Spend on teaching resources as a percentage of total expenditure</t>
  </si>
  <si>
    <t>Spend on energy as a percentage of total expenditure</t>
  </si>
  <si>
    <t>In-year balance as a percentage of total income</t>
  </si>
  <si>
    <t>Revenue reserve as a percentage of total income</t>
  </si>
  <si>
    <t>Red rating</t>
  </si>
  <si>
    <t>Less than or equal to</t>
  </si>
  <si>
    <t>Amber rating</t>
  </si>
  <si>
    <t>Between</t>
  </si>
  <si>
    <t>and</t>
  </si>
  <si>
    <t>Or between</t>
  </si>
  <si>
    <t xml:space="preserve">Or more than </t>
  </si>
  <si>
    <t>Light green rating</t>
  </si>
  <si>
    <t>Dark green rating</t>
  </si>
  <si>
    <t>More than</t>
  </si>
  <si>
    <t>Or less than or equal to</t>
  </si>
  <si>
    <t>Or more than</t>
  </si>
  <si>
    <t>B. Your spending as a percentage of expenditure</t>
  </si>
  <si>
    <t>Your school has been identified as:</t>
  </si>
  <si>
    <t>Size</t>
  </si>
  <si>
    <t>School is rated</t>
  </si>
  <si>
    <t>Secondary with sixth form</t>
  </si>
  <si>
    <t>Secondary without sixth form</t>
  </si>
  <si>
    <t>Special</t>
  </si>
  <si>
    <t>Alternative provision</t>
  </si>
  <si>
    <t>The thresholds for the RAG ratings are based on these characteristics and are:</t>
  </si>
  <si>
    <t>Very small</t>
  </si>
  <si>
    <t>Low FSM</t>
  </si>
  <si>
    <t>Small</t>
  </si>
  <si>
    <t>Medium</t>
  </si>
  <si>
    <t>Large</t>
  </si>
  <si>
    <t>Medium FSM</t>
  </si>
  <si>
    <t>High FSM</t>
  </si>
  <si>
    <t>London</t>
  </si>
  <si>
    <t>Non-London</t>
  </si>
  <si>
    <t>Nursery</t>
  </si>
  <si>
    <t>Sample size</t>
  </si>
  <si>
    <t>London?</t>
  </si>
  <si>
    <t>Note: all but average teacher cost are the same for type of school, despite the location</t>
  </si>
  <si>
    <t>Red if less than:</t>
  </si>
  <si>
    <t>Amber if less than:</t>
  </si>
  <si>
    <t>Dark green if between:</t>
  </si>
  <si>
    <t>Amber if more than:</t>
  </si>
  <si>
    <t>Red if more than:</t>
  </si>
  <si>
    <t>Light green for everything else</t>
  </si>
  <si>
    <t>and:</t>
  </si>
  <si>
    <t>(Median)</t>
  </si>
  <si>
    <t>This shows the average teacher cost for primary and secondary schools. All others are above</t>
  </si>
  <si>
    <t>More than or equal to</t>
  </si>
  <si>
    <t>Full time equivalent number of teachers (classroom and leadership)</t>
  </si>
  <si>
    <t>Summary of agreed action and timetable for reporting back:</t>
  </si>
  <si>
    <t>Teaching periods in the timetable cycle</t>
  </si>
  <si>
    <t>Total number of classes</t>
  </si>
  <si>
    <t>For secondary and all-through schools:</t>
  </si>
  <si>
    <t>For primary schools:</t>
  </si>
  <si>
    <t>Total lessons taught by all teachers in the timetable cycle</t>
  </si>
  <si>
    <t>Introduction to the schools resource management self-assessment tool</t>
  </si>
  <si>
    <t>The school resource management self-assessment tool helps to provide trusts with assurance that they are meeting the basic standards necessary to achieve a good
level of financial health and resource management. 
The tool can be used to identify possible areas for change to ensure that resources are being used to support high-quality teaching and the best education outcomes for pupils. The tool is in two parts:</t>
  </si>
  <si>
    <t>2. A dashboard, which shows how a school's data compares to thresholds on a range of statistics that have been identified as indicators for good resource management and outcomes. This should be completed at school level.</t>
  </si>
  <si>
    <t>Outcome of school resource management self-assessment</t>
  </si>
  <si>
    <t>Chair of trust board</t>
  </si>
  <si>
    <t>Date self-assessment agreed:</t>
  </si>
  <si>
    <r>
      <t xml:space="preserve">Guidance on completion of this document can be found </t>
    </r>
    <r>
      <rPr>
        <u/>
        <sz val="12"/>
        <color theme="8"/>
        <rFont val="Arial"/>
        <family val="2"/>
      </rPr>
      <t>h</t>
    </r>
    <r>
      <rPr>
        <u/>
        <sz val="12"/>
        <color rgb="FF0070C0"/>
        <rFont val="Arial"/>
        <family val="2"/>
      </rPr>
      <t>ere</t>
    </r>
    <r>
      <rPr>
        <sz val="12"/>
        <rFont val="Arial"/>
        <family val="2"/>
      </rPr>
      <t xml:space="preserve">. This guidance also includes examples of good practice and details further support available to assist trusts in addressing specific issues. Clicking on the individual questions below will also take you to the relevant section of the guidance. </t>
    </r>
  </si>
  <si>
    <t>Trust name:</t>
  </si>
  <si>
    <t>Is the pay of senior leaders tightly correlated to strong educational outcomes and sound financial management?</t>
  </si>
  <si>
    <t>G. Self-assessment dashboard</t>
  </si>
  <si>
    <t>School resource management self-assessment dashboard</t>
  </si>
  <si>
    <t>School resource management self-assessment checklist</t>
  </si>
  <si>
    <t>E1</t>
  </si>
  <si>
    <t>E2</t>
  </si>
  <si>
    <t>E3</t>
  </si>
  <si>
    <t>E4</t>
  </si>
  <si>
    <t>E5</t>
  </si>
  <si>
    <t>E6</t>
  </si>
  <si>
    <t>E7</t>
  </si>
  <si>
    <t>E8</t>
  </si>
  <si>
    <t>E9</t>
  </si>
  <si>
    <t>Maintenance of premises</t>
  </si>
  <si>
    <t>Rent and rates</t>
  </si>
  <si>
    <t>Grounds maintenance</t>
  </si>
  <si>
    <t>Educational consultancy</t>
  </si>
  <si>
    <t>Auditor costs</t>
  </si>
  <si>
    <t>Administrative supplies - non educational</t>
  </si>
  <si>
    <t>Direct revenue financing (revenue contributions to capital)</t>
  </si>
  <si>
    <t>E33</t>
  </si>
  <si>
    <t>Professional services - non-curriculum</t>
  </si>
  <si>
    <t>E35</t>
  </si>
  <si>
    <t>Interest charges for loan and bank</t>
  </si>
  <si>
    <t>E36</t>
  </si>
  <si>
    <t>PFI charges</t>
  </si>
  <si>
    <t>1. A checklist, which asks a number of questions of trust boards in six areas of resource management to provide assurance that the trust  is managing its resources effectively. This should be completed at trust level.</t>
  </si>
  <si>
    <t>Teaching resources</t>
  </si>
  <si>
    <t>ICT teaching resources</t>
  </si>
  <si>
    <t>Expand the groups to see the thresholds</t>
  </si>
  <si>
    <t>PVSL</t>
  </si>
  <si>
    <t>PSL</t>
  </si>
  <si>
    <t>PML</t>
  </si>
  <si>
    <t>PLL</t>
  </si>
  <si>
    <t>PVSM</t>
  </si>
  <si>
    <t>PSM</t>
  </si>
  <si>
    <t>PMM</t>
  </si>
  <si>
    <t>PLM</t>
  </si>
  <si>
    <t>PSH</t>
  </si>
  <si>
    <t>PVSH</t>
  </si>
  <si>
    <t>PMH</t>
  </si>
  <si>
    <t>PLH</t>
  </si>
  <si>
    <t>SSSL</t>
  </si>
  <si>
    <t>SSML</t>
  </si>
  <si>
    <t>SSLL</t>
  </si>
  <si>
    <t>SSL</t>
  </si>
  <si>
    <t>SML</t>
  </si>
  <si>
    <t>SLL</t>
  </si>
  <si>
    <t>SSSM</t>
  </si>
  <si>
    <t>SSMM</t>
  </si>
  <si>
    <t>SSLM</t>
  </si>
  <si>
    <t>SSM</t>
  </si>
  <si>
    <t>SMM</t>
  </si>
  <si>
    <t>SLM</t>
  </si>
  <si>
    <t>SSSH</t>
  </si>
  <si>
    <t>SSMH</t>
  </si>
  <si>
    <t>SSLH</t>
  </si>
  <si>
    <t>SSH</t>
  </si>
  <si>
    <t>SMH</t>
  </si>
  <si>
    <t>SLH</t>
  </si>
  <si>
    <t>SPL</t>
  </si>
  <si>
    <t>APL</t>
  </si>
  <si>
    <t>SPNL</t>
  </si>
  <si>
    <t>APNL</t>
  </si>
  <si>
    <t>ATL</t>
  </si>
  <si>
    <t>ATNL</t>
  </si>
  <si>
    <t>NL</t>
  </si>
  <si>
    <t>NNL</t>
  </si>
  <si>
    <t>PL</t>
  </si>
  <si>
    <t>PNL</t>
  </si>
  <si>
    <t>SL</t>
  </si>
  <si>
    <t>SNL</t>
  </si>
  <si>
    <t>SSNL</t>
  </si>
  <si>
    <t>SSLo</t>
  </si>
  <si>
    <t>Average teacher cost</t>
  </si>
  <si>
    <t>% of pupils eligible for FSM:</t>
  </si>
  <si>
    <t>A. Information about your school(s)</t>
  </si>
  <si>
    <t>B. Spending as a percentage of total expenditure</t>
  </si>
  <si>
    <t>The school's
data</t>
  </si>
  <si>
    <t>This school is being compared to other:</t>
  </si>
  <si>
    <r>
      <t>Effective resource management is about how a trust uses its resources to drive outcomes for its pupils. A trust can improve outcomes by using its resources more effectively.</t>
    </r>
    <r>
      <rPr>
        <sz val="4"/>
        <color theme="1"/>
        <rFont val="Arial"/>
        <family val="2"/>
      </rPr>
      <t xml:space="preserve">
</t>
    </r>
    <r>
      <rPr>
        <sz val="12"/>
        <color theme="1"/>
        <rFont val="Arial"/>
        <family val="2"/>
      </rPr>
      <t xml:space="preserve">The dashboard below is designed to help trusts identify areas for improved resource management. It shows how a school compares to thresholds on a range of key indicators. </t>
    </r>
  </si>
  <si>
    <t>N</t>
  </si>
  <si>
    <t>School information from dashboard</t>
  </si>
  <si>
    <t>RAG ratings for each school</t>
  </si>
  <si>
    <t>Information for the 'RAG rating data for your school' look ups</t>
  </si>
  <si>
    <t>*</t>
  </si>
  <si>
    <t>Info for comparison description</t>
  </si>
  <si>
    <t>Low</t>
  </si>
  <si>
    <t>Select which school to show the RAG ratings for:</t>
  </si>
  <si>
    <t>Has the board appointed the senior executive leader as accounting officer?</t>
  </si>
  <si>
    <t>Has the board appointed a clerk who is someone other than a trustee, principal or chief executive of the trust?</t>
  </si>
  <si>
    <t>Answer
(yes, in part, no)</t>
  </si>
  <si>
    <t>How many times has the board met in the last year?</t>
  </si>
  <si>
    <t>Has the board approved a written scheme of financial delegations?</t>
  </si>
  <si>
    <t>Does the trust have a finance committee (or equivalent) with clear terms of reference and a knowledgeable and experienced chair?</t>
  </si>
  <si>
    <t>Has the trust published its governance arrangements on its website in accordance with the Academies Financial Handbook?</t>
  </si>
  <si>
    <t>Can the trust evidence that its 3-year financial forecast has been reviewed by the trustees before approval?</t>
  </si>
  <si>
    <t>Has the board assessed its composition during the year in terms of skills, effectiveness, leadership and impact?</t>
  </si>
  <si>
    <t>Are the assumptions behind the 3-year forecast, including pupil number projections, documented?</t>
  </si>
  <si>
    <t>Does the budget setting process allow sufficient time for the trust board to scrutinise and challenge the information provided?</t>
  </si>
  <si>
    <t>Are balances at a reasonable level and does the trust have a clear plan for using the money it plans to hold in balance at the end of each year?</t>
  </si>
  <si>
    <t>D. Staffing</t>
  </si>
  <si>
    <t>Does the trust benchmark the size of its senior leadership team annually against that of similar schools?</t>
  </si>
  <si>
    <t>Does the trust have procedures for purchasing goods and services that both meet legal requirements and secure value for money?</t>
  </si>
  <si>
    <t>Are the internal scrutiny arrangements, as defined in the Academies Financial Handbook, adhered to?</t>
  </si>
  <si>
    <r>
      <rPr>
        <b/>
        <sz val="12"/>
        <rFont val="Arial"/>
        <family val="2"/>
      </rPr>
      <t>Using the results from the dashboard</t>
    </r>
    <r>
      <rPr>
        <sz val="8"/>
        <rFont val="Arial"/>
        <family val="2"/>
      </rPr>
      <t xml:space="preserve">
</t>
    </r>
    <r>
      <rPr>
        <u/>
        <sz val="12"/>
        <color theme="4" tint="-0.249977111117893"/>
        <rFont val="Arial"/>
        <family val="2"/>
      </rPr>
      <t>Click here</t>
    </r>
    <r>
      <rPr>
        <sz val="12"/>
        <rFont val="Arial"/>
        <family val="2"/>
      </rPr>
      <t xml:space="preserve"> for explanations of what the red, amber and green (RAG) ratings mean and what do
with the results.</t>
    </r>
  </si>
  <si>
    <t>Has the board appointed a qualified and/or experienced chief financial officer?</t>
  </si>
  <si>
    <t xml:space="preserve">Does the trust review and challenge its staffing structure regularly to ensure it is the best structure to meet the needs of the trust whilst maintaining financial integrity? </t>
  </si>
  <si>
    <t>Are the trustees given the opportunity to challenge their staff’s  plans for replacing contracts for goods and services that are due to expire shortly?</t>
  </si>
  <si>
    <t>Does the trust consider collaboration with others, for example on sharing staff or joint purchasing, where that would improve value for money?</t>
  </si>
  <si>
    <t>Are the trustees sure that there are no outstanding matters from audit reports?</t>
  </si>
  <si>
    <t>Does the trust have an accounting system that is adequate and properly run and delivers accurate reports, including the required returns to ESFA?</t>
  </si>
  <si>
    <t>Are all staff aware of the trust’s whistleblowing arrangements and to whom they should report concerns?</t>
  </si>
  <si>
    <t xml:space="preserve">F. Protecting public money </t>
  </si>
  <si>
    <t>B. Trust financial strategy</t>
  </si>
  <si>
    <t>C. Setting the annual budget</t>
  </si>
  <si>
    <t>E. Value for money</t>
  </si>
  <si>
    <t>Target date</t>
  </si>
  <si>
    <r>
      <t xml:space="preserve">If less than 6 times, has the board explained in the governance statement how it has maintained effective oversight?
</t>
    </r>
    <r>
      <rPr>
        <i/>
        <sz val="12"/>
        <rFont val="Arial"/>
        <family val="2"/>
      </rPr>
      <t>(Not applicable answer available)</t>
    </r>
  </si>
  <si>
    <r>
      <t xml:space="preserve">If a cumulative deficit has been forecast within the 3-year budget, is there a plan to mitigate it?
</t>
    </r>
    <r>
      <rPr>
        <i/>
        <sz val="12"/>
        <rFont val="Arial"/>
        <family val="2"/>
      </rPr>
      <t>(Not applicable answer available)</t>
    </r>
  </si>
  <si>
    <t>Is the financial strategy integrated with the trust's strategy for raising standards and attainment?</t>
  </si>
  <si>
    <t>Does the trust compare its non-staff expenditure against the DfE recommended national deals to ensure you are achieving best value for money?</t>
  </si>
  <si>
    <t>Q1 guidance</t>
  </si>
  <si>
    <t>Q2 guidance</t>
  </si>
  <si>
    <t>Q3 guidance</t>
  </si>
  <si>
    <t>Q4 guidance</t>
  </si>
  <si>
    <t>Q5 guidance</t>
  </si>
  <si>
    <t>Q6 guidance</t>
  </si>
  <si>
    <t>Q7 guidance</t>
  </si>
  <si>
    <t>Q8 guidance</t>
  </si>
  <si>
    <t>Q9 guidance</t>
  </si>
  <si>
    <t>Q10 guidance</t>
  </si>
  <si>
    <t>Q11 guidance</t>
  </si>
  <si>
    <t>Q12 guidance</t>
  </si>
  <si>
    <t>Q13 guidance</t>
  </si>
  <si>
    <t>Q14 guidance</t>
  </si>
  <si>
    <t>Q15 guidance</t>
  </si>
  <si>
    <t>Q16 guidance</t>
  </si>
  <si>
    <t>Q17 guidance</t>
  </si>
  <si>
    <t>Q18 guidance</t>
  </si>
  <si>
    <t>Q19 guidance</t>
  </si>
  <si>
    <t>Q20 guidance</t>
  </si>
  <si>
    <t>Q21 guidance</t>
  </si>
  <si>
    <t>Q22 guidance</t>
  </si>
  <si>
    <t>Q23 guidance</t>
  </si>
  <si>
    <t>Q24 guidance</t>
  </si>
  <si>
    <t>Q25 guidance</t>
  </si>
  <si>
    <t>Q26 guidance</t>
  </si>
  <si>
    <t>Q27 guidance</t>
  </si>
  <si>
    <t>Q28 guidance</t>
  </si>
  <si>
    <t>Q29 guidance</t>
  </si>
  <si>
    <t>Q30 guidance</t>
  </si>
  <si>
    <t>Q31 guidance</t>
  </si>
  <si>
    <t>Q32 guidance</t>
  </si>
  <si>
    <t>Q33 guidance</t>
  </si>
  <si>
    <t>Q34 guidance</t>
  </si>
  <si>
    <t>Q35 guidance</t>
  </si>
  <si>
    <t>Q36 guidance</t>
  </si>
  <si>
    <t>Q37 guidance</t>
  </si>
  <si>
    <t>File statistics</t>
  </si>
  <si>
    <t>Number of schools</t>
  </si>
  <si>
    <r>
      <rPr>
        <u/>
        <sz val="11"/>
        <color rgb="FF2E75B6"/>
        <rFont val="Arial"/>
        <family val="2"/>
      </rPr>
      <t>Click here</t>
    </r>
    <r>
      <rPr>
        <sz val="11"/>
        <color theme="1"/>
        <rFont val="Arial"/>
        <family val="2"/>
      </rPr>
      <t xml:space="preserve"> to see the RAG rating data for this school</t>
    </r>
  </si>
  <si>
    <t>Pre_Populated</t>
  </si>
  <si>
    <t>VBA key</t>
  </si>
  <si>
    <t>Dashboard Column</t>
  </si>
  <si>
    <t>Optional Column</t>
  </si>
  <si>
    <t>Dashboard Qual</t>
  </si>
  <si>
    <t>Please enter your number of schools:</t>
  </si>
  <si>
    <t>Pupil</t>
  </si>
  <si>
    <t>Region</t>
  </si>
  <si>
    <t>Temporary data</t>
  </si>
  <si>
    <t>Schools Data</t>
  </si>
  <si>
    <t>Temp</t>
  </si>
  <si>
    <t>RAG</t>
  </si>
  <si>
    <t>Checker</t>
  </si>
  <si>
    <t>RAG rating text for dashboard</t>
  </si>
  <si>
    <t>Lowest 10% of similar schools</t>
  </si>
  <si>
    <t>Much lower than recommended</t>
  </si>
  <si>
    <t>Lowest 20% of similar schools</t>
  </si>
  <si>
    <t>Lower than recommended</t>
  </si>
  <si>
    <t>Broadly in line with similar schools</t>
  </si>
  <si>
    <t>Broadly in line with recommendations</t>
  </si>
  <si>
    <t>Middle 20% of similar schools</t>
  </si>
  <si>
    <t>Higher than recommended</t>
  </si>
  <si>
    <t>Highest 20% of similar schools</t>
  </si>
  <si>
    <t>Much higher than recommended</t>
  </si>
  <si>
    <t>Highest 10% of similar schools</t>
  </si>
  <si>
    <t>Inadequate</t>
  </si>
  <si>
    <t>Requires Improvement</t>
  </si>
  <si>
    <t>High risk</t>
  </si>
  <si>
    <t>Good</t>
  </si>
  <si>
    <t>Medium risk</t>
  </si>
  <si>
    <t>Outstanding</t>
  </si>
  <si>
    <t>Low risk</t>
  </si>
  <si>
    <t>Well below average</t>
  </si>
  <si>
    <t>Below average</t>
  </si>
  <si>
    <t>Average or above average</t>
  </si>
  <si>
    <t>Well above average</t>
  </si>
  <si>
    <t>School Name</t>
  </si>
  <si>
    <t>To ensure that the workbook functions as anticipated, Macros must be enabled</t>
  </si>
  <si>
    <t>Step by step guide to enabling macros:</t>
  </si>
  <si>
    <t xml:space="preserve">1)  The User will need to add the developer tab to their ribbon:
       a. The user should click the file button
      b. The user should then navigate to the ‘Options’ section
       c. The user should then click the ‘Customise ribbon’ section
       d. The user should select and add the ‘developer’ section to their ribbon
2) The user will need to navigate to the developer section of the ribbon
3) The user should then click ‘Macro Security’ 
4) The user should then click ‘Enable all Macros’
5) Macros should now be enabled, the user can click here to access all features of the file.
</t>
  </si>
  <si>
    <r>
      <t xml:space="preserve">
1) Click the enable content button appearing in the banner below the ribbon
2) Macros should now be enabled, the user can click here to access all features of the file.
</t>
    </r>
    <r>
      <rPr>
        <sz val="11"/>
        <color rgb="FFFF0000"/>
        <rFont val="Arial"/>
        <family val="2"/>
      </rPr>
      <t>Should this not work, please follow the steps below in order to enable Macros:</t>
    </r>
  </si>
  <si>
    <t>Text for Dashboard</t>
  </si>
  <si>
    <t>Macros must be enabled for this workbook to function as anticipated.</t>
  </si>
  <si>
    <t>1. A checklist, which asks a number of questions of trust boards in six areas of resource management to provide assurance that the trust is managing its resources effectively. This should be completed at trust level.</t>
  </si>
  <si>
    <t>Complete all highlighted cells.</t>
  </si>
  <si>
    <r>
      <t xml:space="preserve">
This form can be used to input raw spend and characteristics information. If used, the information in this table will be used to calculate the percentages and ratios required in the dashboard. The percentages and ratios can also be inputted directly into the dashboard.</t>
    </r>
    <r>
      <rPr>
        <sz val="10"/>
        <color theme="1"/>
        <rFont val="Arial"/>
        <family val="2"/>
      </rPr>
      <t xml:space="preserve">
</t>
    </r>
    <r>
      <rPr>
        <sz val="12"/>
        <color theme="1"/>
        <rFont val="Arial"/>
        <family val="2"/>
      </rPr>
      <t xml:space="preserve">
Schools should use the most up to date information available to them, and not rely on lagged published data.</t>
    </r>
    <r>
      <rPr>
        <sz val="10"/>
        <color theme="1"/>
        <rFont val="Arial"/>
        <family val="2"/>
      </rPr>
      <t xml:space="preserve">
</t>
    </r>
    <r>
      <rPr>
        <sz val="12"/>
        <color theme="1"/>
        <rFont val="Arial"/>
        <family val="2"/>
      </rPr>
      <t>All of the data should refer to the same financial year.</t>
    </r>
  </si>
  <si>
    <t>Characteristics</t>
  </si>
  <si>
    <t>RAG sheet FLAG</t>
  </si>
  <si>
    <t xml:space="preserve">The dashboard is completed at school level. It is not applicable for sixth form colleges. 
</t>
  </si>
  <si>
    <r>
      <t xml:space="preserve">To update the number of academies shown in the dashboard, change cell </t>
    </r>
    <r>
      <rPr>
        <b/>
        <sz val="12"/>
        <color theme="1"/>
        <rFont val="Arial"/>
        <family val="2"/>
      </rPr>
      <t>F6</t>
    </r>
    <r>
      <rPr>
        <sz val="12"/>
        <color theme="1"/>
        <rFont val="Arial"/>
        <family val="2"/>
      </rPr>
      <t xml:space="preserve">. Increasing the number will add additional input columns, decreasing the number will remove input columns. You must enter a number </t>
    </r>
    <r>
      <rPr>
        <b/>
        <sz val="12"/>
        <color theme="1"/>
        <rFont val="Arial"/>
        <family val="2"/>
      </rPr>
      <t xml:space="preserve">above </t>
    </r>
    <r>
      <rPr>
        <sz val="12"/>
        <color theme="1"/>
        <rFont val="Arial"/>
        <family val="2"/>
      </rPr>
      <t>0.</t>
    </r>
  </si>
  <si>
    <r>
      <t>Guidance on the calculation of the metrics in the tool can be found</t>
    </r>
    <r>
      <rPr>
        <sz val="12"/>
        <color rgb="FF2E75B6"/>
        <rFont val="Arial"/>
        <family val="2"/>
      </rPr>
      <t xml:space="preserve"> </t>
    </r>
    <r>
      <rPr>
        <u/>
        <sz val="12"/>
        <color rgb="FF2E75B6"/>
        <rFont val="Arial"/>
        <family val="2"/>
      </rPr>
      <t>here</t>
    </r>
    <r>
      <rPr>
        <sz val="12"/>
        <color theme="1"/>
        <rFont val="Arial"/>
        <family val="2"/>
      </rPr>
      <t>. Clicking on the link next to individual indicators below will also take you to the relevant section of the guidance.</t>
    </r>
  </si>
  <si>
    <t>Completion of the self-assessment tool is compulsory for all academy trusts. This document includes pre-populated dashboard(s) for the school(s) in your trust to support the completion and analysis of the tool.</t>
  </si>
  <si>
    <t>St Matthew's Church of England Primary and Nursery Academy</t>
  </si>
  <si>
    <t>All Saints Babbacombe CofE Primary School</t>
  </si>
  <si>
    <t>St Marychurch Church of England Primary and Nursery School</t>
  </si>
  <si>
    <t>St Rumon's Church of England (VC) Infants School</t>
  </si>
  <si>
    <t>St Peter's Church of England (VA) Junior School - Tavistock</t>
  </si>
  <si>
    <t>St Edward's CofE Primary School - Plymouth</t>
  </si>
  <si>
    <t>Upton St James CofE Primary School</t>
  </si>
  <si>
    <t>St Leonard's (CofE) Primary School (VC)</t>
  </si>
  <si>
    <t>All Saints Church of England Primary School - Axminster</t>
  </si>
  <si>
    <t>Beer Church of England Primary School</t>
  </si>
  <si>
    <t>Lady Modiford's Church of England Primary School</t>
  </si>
  <si>
    <t>Meavy Church of England Primary School</t>
  </si>
  <si>
    <t>Tidcombe Primary School</t>
  </si>
  <si>
    <r>
      <t xml:space="preserve">The RAG ratings have been calculated using maintained school and academy 2018-19 data.
The majority of metrics in the dashboard are percentages and ratios which at a national level don't change significantly year on year, so they still provide a fair and useful comparison with your up to date data.
The exception is teacher costs, which do change year on year. To reflect the September 2019 pay award and September 2020 pension contributions changes, the underlying data has been uplifted by 8.6% so the RAG ratings for </t>
    </r>
    <r>
      <rPr>
        <b/>
        <sz val="12"/>
        <color theme="1"/>
        <rFont val="Arial"/>
        <family val="2"/>
      </rPr>
      <t>spend on teaching staff as a percentage of total expenditure</t>
    </r>
    <r>
      <rPr>
        <sz val="12"/>
        <color theme="1"/>
        <rFont val="Arial"/>
        <family val="2"/>
      </rPr>
      <t xml:space="preserve"> and </t>
    </r>
    <r>
      <rPr>
        <b/>
        <sz val="12"/>
        <color theme="1"/>
        <rFont val="Arial"/>
        <family val="2"/>
      </rPr>
      <t>average teacher cost</t>
    </r>
    <r>
      <rPr>
        <sz val="12"/>
        <color theme="1"/>
        <rFont val="Arial"/>
        <family val="2"/>
      </rPr>
      <t xml:space="preserve"> ensure your 2019/20 data is compared on a like for like basis.</t>
    </r>
  </si>
  <si>
    <t>Test1</t>
  </si>
  <si>
    <t>Trusts should answer each question with 'yes', 'no', or 'in part' from the drop down lists provided, or with a number, as appropriate. If a trust answers 'no' or 'in part' to a question, they must provide a target date and comments. Trusts may also provide comments, evidence and proposed actions for 'yes' answers.</t>
  </si>
  <si>
    <t>Have the Chief Financial Officer, Accounting Officer and chair of trustees read the current edition of the Academies Financial Handbook?</t>
  </si>
  <si>
    <t>1A</t>
  </si>
  <si>
    <t>Do they understand their role in complying with the trust’s charitable objects, with company and charity law, and with the funding agreement?</t>
  </si>
  <si>
    <t>Q1A guidance</t>
  </si>
  <si>
    <t>Does the board have a plan in place to address any gaps in its capabilities through recruitment, induction, training or other development activity?</t>
  </si>
  <si>
    <t>4A</t>
  </si>
  <si>
    <t>Has the board assured itself that the senior leader has appropriate skills to fulfill their role as accounting officer in accordance with the financial responsibilities of the duty to the public purse?</t>
  </si>
  <si>
    <t>Q4A guidance</t>
  </si>
  <si>
    <t>7A</t>
  </si>
  <si>
    <t>Q7A guidance</t>
  </si>
  <si>
    <t>Has the trust held an Annual General Meeting (AGM) with members in the last 12 months?</t>
  </si>
  <si>
    <t>8A</t>
  </si>
  <si>
    <t>(If answering "no") Please provide details of any alternative arrangements for communicating with members.</t>
  </si>
  <si>
    <t>8B</t>
  </si>
  <si>
    <t>(If answering "yes") What percentage of members attended the AGM?</t>
  </si>
  <si>
    <t>Does the trust have an audit and risk committee?</t>
  </si>
  <si>
    <t>11A</t>
  </si>
  <si>
    <t>Does the audit and risk committee reflect minimum good practice by precluding employees from its membership?</t>
  </si>
  <si>
    <t>11B</t>
  </si>
  <si>
    <t>How many times has the audit and risk committee met in the last 12 months?</t>
  </si>
  <si>
    <t>Are trustees assured that regular risk assessment process is in place, and that mitigations planned are appropriate/interrogated?</t>
  </si>
  <si>
    <t>Does the academy trust operate in accordance with all of the requirements in the Academies Financial Handbook to identify and avoid conflicts of interest, and to report and manage and related party transactions?</t>
  </si>
  <si>
    <t/>
  </si>
  <si>
    <t>Has the board of trustees carried out a going concern assessment of the trust to inform the basis of the preparation for financial statements?</t>
  </si>
  <si>
    <t>15A</t>
  </si>
  <si>
    <t>(If "yes") Can the board clearly evidence the information and data used to inform this assessment and the assumptions made?</t>
  </si>
  <si>
    <t>Q15A guidance</t>
  </si>
  <si>
    <t>Can the trust evidence that trustees have taken financial performance in previous years into account (for example, adjustments for areas of significant underspend or overspend)?</t>
  </si>
  <si>
    <t>Does the trust survey its physical estate and ensure appropriate capital provision in budget setting?</t>
  </si>
  <si>
    <t>21A</t>
  </si>
  <si>
    <t>Are trustees aware of their duties under health and safety legislation?</t>
  </si>
  <si>
    <t>Q21A guidance</t>
  </si>
  <si>
    <t>Does the school have an appropriate business continuity or disaster recovery plan, including an up-to-date asset register and adequate insurance?</t>
  </si>
  <si>
    <t>Does the trust set a well-informed and balanced budget which is approved, in advance, by the board?</t>
  </si>
  <si>
    <t>Do trustees challenge pupil number assumptions and can the trust move quickly to recast the budget if the projections and reality are materially different?</t>
  </si>
  <si>
    <t>Is end year outturn in line with budget projections, or if not, is the trust board alerted to significant variations in a timely manner, and do they result from planned changes or from genuinely unforeseeable circumstances?</t>
  </si>
  <si>
    <t>Has the academy trust published on its website the number of employees whose total benefits exceeded £100k?</t>
  </si>
  <si>
    <t>Does the trust benchmark its income and expenditure and that of its schools annually against that of similar trusts and schools and investigate further where any category appears to be out of line?</t>
  </si>
  <si>
    <t>Q38 guidance</t>
  </si>
  <si>
    <t>Does the trust regularly review its internal control arrangements to safeguard against fraud and theft, by staff, contractors, suppliers and other third parties?</t>
  </si>
  <si>
    <t>Q39 guidance</t>
  </si>
  <si>
    <t>Q40 guidance</t>
  </si>
  <si>
    <t>Q41 guidance</t>
  </si>
  <si>
    <t>Have the results of the self-assessment dashboard been carefully considered and potential follow-up actions identified?</t>
  </si>
  <si>
    <t>Q42 guidance</t>
  </si>
  <si>
    <t xml:space="preserve">The checklist asks a number of questions of trust boards in six areas of resource management to help provide assurance that resources are being managed effectively. 
In 2021-22 the deadline for submission of the self-assessment checklist is 15th April. This downloaded form can be used to prepare for the return or to assess use of resources at various points throughout the year.
The checklist should be completed at academy trust level. </t>
  </si>
  <si>
    <t xml:space="preserve">
[enter text]</t>
  </si>
  <si>
    <t>Calculated figures entered directly below will not be saved and will be re-calculated using data in the 'input raw data' tab when the workbook opens.</t>
  </si>
  <si>
    <r>
      <rPr>
        <u/>
        <sz val="11"/>
        <color theme="4" tint="-0.249977111117893"/>
        <rFont val="Arial"/>
        <family val="2"/>
      </rPr>
      <t>Click here</t>
    </r>
    <r>
      <rPr>
        <sz val="11"/>
        <color theme="1"/>
        <rFont val="Arial"/>
        <family val="2"/>
      </rPr>
      <t xml:space="preserve"> to input raw spending and characteristics data for this school</t>
    </r>
  </si>
  <si>
    <r>
      <rPr>
        <sz val="12"/>
        <color theme="1"/>
        <rFont val="Arial"/>
        <family val="2"/>
      </rPr>
      <t xml:space="preserve">
</t>
    </r>
    <r>
      <rPr>
        <b/>
        <sz val="12"/>
        <color theme="1"/>
        <rFont val="Arial"/>
        <family val="2"/>
      </rPr>
      <t xml:space="preserve">Using the dashboard
</t>
    </r>
    <r>
      <rPr>
        <sz val="12"/>
        <color theme="1"/>
        <rFont val="Arial"/>
        <family val="2"/>
      </rPr>
      <t xml:space="preserve">This dashboard has been populated with your 2019/20 accounts return, November 2019 school workforce census, 2019 performance tables, 2020 school census, and latest Ofsted rating. For MATs, any central trust spending recorded in your accounts return is disaggregated to the academies in the trust on a per-pupil basis. 
*Updated '% of pupils eligible for FSM' data on 22/02/21 
</t>
    </r>
  </si>
  <si>
    <t>Shenfield High School</t>
  </si>
  <si>
    <t>East of England</t>
  </si>
  <si>
    <t>N/A</t>
  </si>
  <si>
    <t>- a medium secondary with sixth form with low levels of FSM</t>
  </si>
  <si>
    <t>- a secondary school with a sixth form outside London(for average teacher cost only)</t>
  </si>
  <si>
    <t>Yes</t>
  </si>
  <si>
    <t>Plus regular Reports through lockdown periods.</t>
  </si>
  <si>
    <t>MWS Financial Statements and Audit Reports</t>
  </si>
  <si>
    <t>Not applicable</t>
  </si>
  <si>
    <t>Virements</t>
  </si>
  <si>
    <t>Yes but there is greater expenditure needed than funds available. We work hard on Cif and other grants to help with this.</t>
  </si>
  <si>
    <t>Very tight balance this year due to lost income and cost of responding to Covid. Next year onwards is well planned and shows healthy expected balances.</t>
  </si>
  <si>
    <t>Benchmarking card and SRM Self-Assessment Return</t>
  </si>
  <si>
    <t>In part</t>
  </si>
  <si>
    <t>This is considered and has been useful with purchases and contatracts in the past.</t>
  </si>
  <si>
    <t>Consortiums and DFE deals are considered alongside our won robust procurement procedures to achieve best value for money.</t>
  </si>
  <si>
    <t>FMS is due to be replaced as much better options are now available.</t>
  </si>
  <si>
    <t>Teacher contact ratio (less than 1.0) - the data entererd in this column should be 0.75 which is Green- Broadly in line with recommendataions. Every time I enetr the data, it does not save on shutdown for some reason.</t>
  </si>
  <si>
    <t>Green - Broadly in line with recommendations (ASCL 0.78)</t>
  </si>
  <si>
    <t xml:space="preserve">On major contracts going to tender, trustees are involved directly in the process. Other contacts over a set value are recorded and monitored on a contacts tracker which is reviewed annually by Resources Committee.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</si>
</sst>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quot;£&quot;#,##0.00_);\(&quot;£&quot;#,##0.00\)"/>
    <numFmt numFmtId="165" formatCode="0.0%"/>
    <numFmt numFmtId="166" formatCode="0.0"/>
    <numFmt numFmtId="167" formatCode="&quot;£&quot;#,##0"/>
    <numFmt numFmtId="168" formatCode="#,##0.0"/>
    <numFmt numFmtId="169" formatCode="0.0000"/>
  </numFmts>
  <fonts count="45" x14ac:knownFonts="1">
    <font>
      <sz val="11"/>
      <color theme="1"/>
      <name val="Calibri"/>
      <family val="2"/>
      <scheme val="minor"/>
    </font>
    <font>
      <sz val="11"/>
      <color theme="1"/>
      <name val="Calibri"/>
      <family val="2"/>
      <scheme val="minor"/>
    </font>
    <font>
      <sz val="11"/>
      <color theme="1"/>
      <name val="Arial"/>
      <family val="2"/>
    </font>
    <font>
      <b/>
      <sz val="16"/>
      <color theme="0"/>
      <name val="Arial"/>
      <family val="2"/>
    </font>
    <font>
      <b/>
      <sz val="11"/>
      <color theme="1"/>
      <name val="Arial"/>
      <family val="2"/>
    </font>
    <font>
      <b/>
      <sz val="14"/>
      <color theme="1"/>
      <name val="Arial"/>
      <family val="2"/>
    </font>
    <font>
      <sz val="12"/>
      <name val="Arial"/>
      <family val="2"/>
    </font>
    <font>
      <b/>
      <sz val="12"/>
      <color theme="1"/>
      <name val="Arial"/>
      <family val="2"/>
    </font>
    <font>
      <sz val="12"/>
      <color theme="1"/>
      <name val="Arial"/>
      <family val="2"/>
    </font>
    <font>
      <b/>
      <sz val="12"/>
      <color rgb="FFFF0000"/>
      <name val="Arial"/>
      <family val="2"/>
    </font>
    <font>
      <b/>
      <sz val="12"/>
      <color theme="0"/>
      <name val="Arial"/>
      <family val="2"/>
    </font>
    <font>
      <u/>
      <sz val="11"/>
      <color theme="10"/>
      <name val="Calibri"/>
      <family val="2"/>
      <scheme val="minor"/>
    </font>
    <font>
      <u/>
      <sz val="12"/>
      <color theme="10"/>
      <name val="Arial"/>
      <family val="2"/>
    </font>
    <font>
      <u/>
      <sz val="12"/>
      <color rgb="FF0070C0"/>
      <name val="Arial"/>
      <family val="2"/>
    </font>
    <font>
      <i/>
      <sz val="12"/>
      <color theme="1"/>
      <name val="Arial"/>
      <family val="2"/>
    </font>
    <font>
      <sz val="12"/>
      <color theme="0" tint="-0.499984740745262"/>
      <name val="Arial"/>
      <family val="2"/>
    </font>
    <font>
      <sz val="11"/>
      <color rgb="FFFF0000"/>
      <name val="Arial"/>
      <family val="2"/>
    </font>
    <font>
      <u/>
      <sz val="12"/>
      <color theme="8"/>
      <name val="Arial"/>
      <family val="2"/>
    </font>
    <font>
      <b/>
      <i/>
      <sz val="12"/>
      <color theme="1"/>
      <name val="Arial"/>
      <family val="2"/>
    </font>
    <font>
      <u/>
      <sz val="12"/>
      <color theme="1"/>
      <name val="Arial"/>
      <family val="2"/>
    </font>
    <font>
      <strike/>
      <sz val="11"/>
      <color theme="1"/>
      <name val="Arial"/>
      <family val="2"/>
    </font>
    <font>
      <sz val="12"/>
      <color theme="0"/>
      <name val="Arial"/>
      <family val="2"/>
    </font>
    <font>
      <sz val="4"/>
      <color theme="1"/>
      <name val="Arial"/>
      <family val="2"/>
    </font>
    <font>
      <u/>
      <sz val="12"/>
      <color theme="4" tint="-0.249977111117893"/>
      <name val="Arial"/>
      <family val="2"/>
    </font>
    <font>
      <b/>
      <sz val="12"/>
      <name val="Arial"/>
      <family val="2"/>
    </font>
    <font>
      <sz val="11"/>
      <color theme="0"/>
      <name val="Arial"/>
      <family val="2"/>
    </font>
    <font>
      <b/>
      <sz val="11"/>
      <color theme="0"/>
      <name val="Arial"/>
      <family val="2"/>
    </font>
    <font>
      <sz val="11"/>
      <name val="Arial"/>
      <family val="2"/>
    </font>
    <font>
      <sz val="11"/>
      <color theme="0" tint="-0.499984740745262"/>
      <name val="Arial"/>
      <family val="2"/>
    </font>
    <font>
      <sz val="10"/>
      <name val="Arial"/>
      <family val="2"/>
    </font>
    <font>
      <sz val="10"/>
      <color theme="1"/>
      <name val="Arial"/>
      <family val="2"/>
    </font>
    <font>
      <sz val="8"/>
      <name val="Arial"/>
      <family val="2"/>
    </font>
    <font>
      <i/>
      <sz val="12"/>
      <name val="Arial"/>
      <family val="2"/>
    </font>
    <font>
      <sz val="11"/>
      <color rgb="FF104F75"/>
      <name val="Calibri"/>
      <family val="2"/>
      <scheme val="minor"/>
    </font>
    <font>
      <u/>
      <sz val="11"/>
      <color theme="4" tint="-0.249977111117893"/>
      <name val="Arial"/>
      <family val="2"/>
    </font>
    <font>
      <u/>
      <sz val="11"/>
      <color theme="1"/>
      <name val="Arial"/>
      <family val="2"/>
    </font>
    <font>
      <u/>
      <sz val="11"/>
      <color rgb="FF2E75B6"/>
      <name val="Arial"/>
      <family val="2"/>
    </font>
    <font>
      <sz val="11"/>
      <color rgb="FF000000"/>
      <name val="Arial"/>
      <family val="2"/>
    </font>
    <font>
      <b/>
      <sz val="36"/>
      <name val="Arial"/>
      <family val="2"/>
    </font>
    <font>
      <i/>
      <sz val="11"/>
      <color theme="0" tint="-0.249977111117893"/>
      <name val="Arial"/>
      <family val="2"/>
    </font>
    <font>
      <b/>
      <sz val="20"/>
      <color rgb="FFFF0000"/>
      <name val="Arial"/>
      <family val="2"/>
    </font>
    <font>
      <sz val="12"/>
      <color rgb="FF2E75B6"/>
      <name val="Arial"/>
      <family val="2"/>
    </font>
    <font>
      <u/>
      <sz val="12"/>
      <color rgb="FF2E75B6"/>
      <name val="Arial"/>
      <family val="2"/>
    </font>
    <font>
      <sz val="12"/>
      <color theme="1"/>
      <name val="Calibri"/>
      <family val="2"/>
      <scheme val="minor"/>
    </font>
    <font>
      <u/>
      <sz val="12"/>
      <color theme="10"/>
      <name val="Calibri"/>
      <family val="2"/>
      <scheme val="minor"/>
    </font>
  </fonts>
  <fills count="13">
    <fill>
      <patternFill patternType="none"/>
    </fill>
    <fill>
      <patternFill patternType="gray125"/>
    </fill>
    <fill>
      <patternFill patternType="solid">
        <fgColor theme="0" tint="-0.14999847407452621"/>
        <bgColor indexed="64"/>
      </patternFill>
    </fill>
    <fill>
      <patternFill patternType="solid">
        <fgColor rgb="FF104F75"/>
        <bgColor indexed="64"/>
      </patternFill>
    </fill>
    <fill>
      <patternFill patternType="solid">
        <fgColor rgb="FFE8D3D4"/>
        <bgColor indexed="64"/>
      </patternFill>
    </fill>
    <fill>
      <patternFill patternType="solid">
        <fgColor rgb="FFED878E"/>
        <bgColor indexed="64"/>
      </patternFill>
    </fill>
    <fill>
      <patternFill patternType="solid">
        <fgColor rgb="FFC0DDAD"/>
        <bgColor indexed="64"/>
      </patternFill>
    </fill>
    <fill>
      <patternFill patternType="solid">
        <fgColor rgb="FFFFD961"/>
        <bgColor indexed="64"/>
      </patternFill>
    </fill>
    <fill>
      <patternFill patternType="solid">
        <fgColor rgb="FF73B04A"/>
        <bgColor indexed="64"/>
      </patternFill>
    </fill>
    <fill>
      <patternFill patternType="solid">
        <fgColor theme="0" tint="-4.9989318521683403E-2"/>
        <bgColor indexed="64"/>
      </patternFill>
    </fill>
    <fill>
      <patternFill patternType="solid">
        <fgColor theme="1"/>
        <bgColor indexed="64"/>
      </patternFill>
    </fill>
    <fill>
      <patternFill patternType="solid">
        <fgColor theme="0"/>
        <bgColor indexed="64"/>
      </patternFill>
    </fill>
    <fill>
      <patternFill patternType="solid">
        <fgColor theme="0" tint="-0.249977111117893"/>
        <bgColor indexed="64"/>
      </patternFill>
    </fill>
  </fills>
  <borders count="3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s>
  <cellStyleXfs count="3">
    <xf numFmtId="0" fontId="0" fillId="0" borderId="0"/>
    <xf numFmtId="9" fontId="1" fillId="0" borderId="0" applyFont="0" applyFill="0" applyBorder="0" applyAlignment="0" applyProtection="0"/>
    <xf numFmtId="0" fontId="11" fillId="0" borderId="0" applyNumberFormat="0" applyFill="0" applyBorder="0" applyAlignment="0" applyProtection="0"/>
  </cellStyleXfs>
  <cellXfs count="404">
    <xf numFmtId="0" fontId="0" fillId="0" borderId="0" xfId="0"/>
    <xf numFmtId="0" fontId="2" fillId="0" borderId="0" xfId="0" applyFont="1" applyProtection="1">
      <protection hidden="1"/>
    </xf>
    <xf numFmtId="0" fontId="2" fillId="0" borderId="12" xfId="0" applyFont="1" applyBorder="1" applyProtection="1">
      <protection hidden="1"/>
    </xf>
    <xf numFmtId="0" fontId="2" fillId="0" borderId="13" xfId="0" applyFont="1" applyBorder="1" applyProtection="1">
      <protection hidden="1"/>
    </xf>
    <xf numFmtId="0" fontId="2" fillId="0" borderId="14" xfId="0" applyFont="1" applyBorder="1" applyProtection="1">
      <protection hidden="1"/>
    </xf>
    <xf numFmtId="0" fontId="2" fillId="0" borderId="0" xfId="0" applyFont="1" applyBorder="1" applyProtection="1">
      <protection hidden="1"/>
    </xf>
    <xf numFmtId="0" fontId="2" fillId="0" borderId="15" xfId="0" applyFont="1" applyBorder="1" applyProtection="1">
      <protection hidden="1"/>
    </xf>
    <xf numFmtId="0" fontId="2" fillId="0" borderId="16" xfId="0" applyFont="1" applyBorder="1" applyProtection="1">
      <protection hidden="1"/>
    </xf>
    <xf numFmtId="0" fontId="4" fillId="0" borderId="0" xfId="0" applyFont="1" applyBorder="1" applyAlignment="1" applyProtection="1">
      <alignment vertical="center"/>
      <protection hidden="1"/>
    </xf>
    <xf numFmtId="0" fontId="2" fillId="0" borderId="16" xfId="0" applyFont="1" applyBorder="1" applyAlignment="1" applyProtection="1">
      <alignment horizontal="left"/>
      <protection hidden="1"/>
    </xf>
    <xf numFmtId="0" fontId="8" fillId="0" borderId="0" xfId="0" applyFont="1" applyBorder="1" applyProtection="1">
      <protection hidden="1"/>
    </xf>
    <xf numFmtId="0" fontId="8" fillId="0" borderId="0" xfId="0" applyFont="1" applyBorder="1" applyAlignment="1" applyProtection="1">
      <alignment horizontal="right" indent="1"/>
      <protection hidden="1"/>
    </xf>
    <xf numFmtId="0" fontId="2" fillId="0" borderId="17" xfId="0" applyFont="1" applyBorder="1" applyProtection="1">
      <protection hidden="1"/>
    </xf>
    <xf numFmtId="0" fontId="2" fillId="0" borderId="18" xfId="0" applyFont="1" applyBorder="1" applyProtection="1">
      <protection hidden="1"/>
    </xf>
    <xf numFmtId="0" fontId="2" fillId="0" borderId="19" xfId="0" applyFont="1" applyBorder="1" applyProtection="1">
      <protection hidden="1"/>
    </xf>
    <xf numFmtId="0" fontId="8" fillId="0" borderId="15" xfId="0" applyFont="1" applyBorder="1" applyProtection="1">
      <protection hidden="1"/>
    </xf>
    <xf numFmtId="0" fontId="8" fillId="0" borderId="16" xfId="0" applyFont="1" applyBorder="1" applyProtection="1">
      <protection hidden="1"/>
    </xf>
    <xf numFmtId="0" fontId="8" fillId="0" borderId="0" xfId="0" applyFont="1" applyProtection="1">
      <protection hidden="1"/>
    </xf>
    <xf numFmtId="0" fontId="8" fillId="0" borderId="15" xfId="0" applyFont="1" applyBorder="1" applyAlignment="1" applyProtection="1">
      <alignment vertical="center"/>
      <protection hidden="1"/>
    </xf>
    <xf numFmtId="0" fontId="8" fillId="0" borderId="0" xfId="0" applyFont="1" applyBorder="1" applyAlignment="1" applyProtection="1">
      <alignment vertical="center"/>
      <protection hidden="1"/>
    </xf>
    <xf numFmtId="0" fontId="8" fillId="0" borderId="16" xfId="0" applyFont="1" applyBorder="1" applyAlignment="1" applyProtection="1">
      <alignment vertical="center"/>
      <protection hidden="1"/>
    </xf>
    <xf numFmtId="0" fontId="8" fillId="0" borderId="0" xfId="0" applyFont="1" applyAlignment="1" applyProtection="1">
      <alignment vertical="center"/>
      <protection hidden="1"/>
    </xf>
    <xf numFmtId="0" fontId="8" fillId="0" borderId="21" xfId="0" quotePrefix="1" applyFont="1" applyBorder="1" applyAlignment="1" applyProtection="1">
      <alignment horizontal="left" vertical="center"/>
      <protection hidden="1"/>
    </xf>
    <xf numFmtId="10" fontId="8" fillId="0" borderId="0" xfId="0" applyNumberFormat="1" applyFont="1" applyProtection="1">
      <protection hidden="1"/>
    </xf>
    <xf numFmtId="0" fontId="8" fillId="0" borderId="21" xfId="0" applyFont="1" applyBorder="1" applyAlignment="1" applyProtection="1">
      <alignment horizontal="left" vertical="center"/>
      <protection hidden="1"/>
    </xf>
    <xf numFmtId="0" fontId="8" fillId="0" borderId="17" xfId="0" applyFont="1" applyBorder="1" applyAlignment="1" applyProtection="1">
      <alignment horizontal="left" vertical="center" wrapText="1"/>
      <protection hidden="1"/>
    </xf>
    <xf numFmtId="0" fontId="8" fillId="0" borderId="20" xfId="0" applyFont="1" applyBorder="1" applyAlignment="1" applyProtection="1">
      <alignment horizontal="left" vertical="center" wrapText="1"/>
      <protection hidden="1"/>
    </xf>
    <xf numFmtId="0" fontId="8" fillId="0" borderId="18" xfId="0" applyFont="1" applyBorder="1" applyAlignment="1" applyProtection="1">
      <alignment horizontal="left" vertical="center" wrapText="1"/>
      <protection hidden="1"/>
    </xf>
    <xf numFmtId="0" fontId="8" fillId="0" borderId="18" xfId="0" applyFont="1" applyBorder="1" applyProtection="1">
      <protection hidden="1"/>
    </xf>
    <xf numFmtId="165" fontId="8" fillId="0" borderId="20" xfId="0" applyNumberFormat="1" applyFont="1" applyBorder="1" applyAlignment="1" applyProtection="1">
      <alignment horizontal="center" vertical="center"/>
      <protection hidden="1"/>
    </xf>
    <xf numFmtId="165" fontId="8" fillId="0" borderId="18" xfId="0" applyNumberFormat="1" applyFont="1" applyBorder="1" applyAlignment="1" applyProtection="1">
      <alignment horizontal="right" indent="1"/>
      <protection hidden="1"/>
    </xf>
    <xf numFmtId="0" fontId="8" fillId="0" borderId="18" xfId="0" applyFont="1" applyBorder="1" applyAlignment="1" applyProtection="1">
      <alignment horizontal="center" vertical="center"/>
      <protection hidden="1"/>
    </xf>
    <xf numFmtId="0" fontId="8" fillId="0" borderId="19" xfId="0" applyFont="1" applyBorder="1" applyProtection="1">
      <protection hidden="1"/>
    </xf>
    <xf numFmtId="165" fontId="2" fillId="0" borderId="0" xfId="0" applyNumberFormat="1" applyFont="1" applyBorder="1" applyAlignment="1" applyProtection="1">
      <alignment horizontal="right" vertical="center" indent="1"/>
      <protection hidden="1"/>
    </xf>
    <xf numFmtId="165" fontId="2" fillId="0" borderId="0" xfId="0" applyNumberFormat="1" applyFont="1" applyBorder="1" applyAlignment="1" applyProtection="1">
      <alignment horizontal="right" indent="1"/>
      <protection hidden="1"/>
    </xf>
    <xf numFmtId="0" fontId="2" fillId="0" borderId="0" xfId="0" applyFont="1" applyBorder="1" applyAlignment="1" applyProtection="1">
      <alignment horizontal="center" vertical="center"/>
      <protection hidden="1"/>
    </xf>
    <xf numFmtId="10" fontId="2" fillId="0" borderId="0" xfId="0" applyNumberFormat="1" applyFont="1" applyProtection="1">
      <protection hidden="1"/>
    </xf>
    <xf numFmtId="0" fontId="2" fillId="0" borderId="15" xfId="0" applyFont="1" applyBorder="1" applyAlignment="1" applyProtection="1">
      <alignment horizontal="left" vertical="center"/>
      <protection hidden="1"/>
    </xf>
    <xf numFmtId="0" fontId="2" fillId="0" borderId="16" xfId="0" applyFont="1" applyBorder="1" applyAlignment="1" applyProtection="1">
      <alignment horizontal="left" vertical="center"/>
      <protection hidden="1"/>
    </xf>
    <xf numFmtId="0" fontId="2" fillId="0" borderId="0" xfId="0" applyFont="1" applyAlignment="1" applyProtection="1">
      <alignment horizontal="left" vertical="center"/>
      <protection hidden="1"/>
    </xf>
    <xf numFmtId="0" fontId="8" fillId="0" borderId="0" xfId="0" applyFont="1" applyBorder="1" applyAlignment="1" applyProtection="1">
      <alignment horizontal="left" vertical="top" wrapText="1" indent="2"/>
      <protection hidden="1"/>
    </xf>
    <xf numFmtId="0" fontId="7" fillId="0" borderId="0" xfId="0" applyFont="1" applyBorder="1" applyAlignment="1" applyProtection="1">
      <alignment horizontal="left" vertical="center" indent="1"/>
      <protection hidden="1"/>
    </xf>
    <xf numFmtId="165" fontId="8" fillId="0" borderId="18" xfId="0" applyNumberFormat="1" applyFont="1" applyBorder="1" applyAlignment="1" applyProtection="1">
      <alignment horizontal="center" vertical="center"/>
      <protection hidden="1"/>
    </xf>
    <xf numFmtId="0" fontId="8" fillId="0" borderId="0" xfId="0" applyFont="1" applyBorder="1" applyAlignment="1" applyProtection="1">
      <alignment horizontal="left" vertical="center" indent="1"/>
      <protection hidden="1"/>
    </xf>
    <xf numFmtId="0" fontId="7" fillId="0" borderId="0" xfId="0" applyFont="1" applyBorder="1" applyAlignment="1" applyProtection="1">
      <alignment horizontal="left" vertical="center"/>
      <protection hidden="1"/>
    </xf>
    <xf numFmtId="0" fontId="8" fillId="0" borderId="4" xfId="0" applyFont="1" applyBorder="1" applyProtection="1">
      <protection hidden="1"/>
    </xf>
    <xf numFmtId="0" fontId="7" fillId="0" borderId="6" xfId="0" applyFont="1" applyBorder="1" applyAlignment="1" applyProtection="1">
      <alignment horizontal="right" indent="1"/>
      <protection hidden="1"/>
    </xf>
    <xf numFmtId="0" fontId="7" fillId="0" borderId="5" xfId="0" applyFont="1" applyBorder="1" applyAlignment="1" applyProtection="1">
      <alignment horizontal="right" indent="1"/>
      <protection hidden="1"/>
    </xf>
    <xf numFmtId="0" fontId="8" fillId="0" borderId="5" xfId="0" applyFont="1" applyBorder="1" applyProtection="1">
      <protection hidden="1"/>
    </xf>
    <xf numFmtId="0" fontId="7" fillId="0" borderId="9" xfId="0" applyFont="1" applyBorder="1" applyProtection="1">
      <protection hidden="1"/>
    </xf>
    <xf numFmtId="0" fontId="8" fillId="0" borderId="11" xfId="0" applyFont="1" applyBorder="1" applyProtection="1">
      <protection hidden="1"/>
    </xf>
    <xf numFmtId="0" fontId="8" fillId="0" borderId="10" xfId="0" applyFont="1" applyBorder="1" applyProtection="1">
      <protection hidden="1"/>
    </xf>
    <xf numFmtId="0" fontId="7" fillId="0" borderId="10" xfId="0" applyFont="1" applyBorder="1" applyProtection="1">
      <protection hidden="1"/>
    </xf>
    <xf numFmtId="0" fontId="8" fillId="0" borderId="4" xfId="0" applyFont="1" applyFill="1" applyBorder="1" applyProtection="1">
      <protection hidden="1"/>
    </xf>
    <xf numFmtId="0" fontId="7" fillId="0" borderId="5" xfId="0" applyFont="1" applyFill="1" applyBorder="1" applyAlignment="1" applyProtection="1">
      <alignment horizontal="right" indent="1"/>
      <protection hidden="1"/>
    </xf>
    <xf numFmtId="0" fontId="8" fillId="0" borderId="5" xfId="0" applyFont="1" applyFill="1" applyBorder="1" applyProtection="1">
      <protection hidden="1"/>
    </xf>
    <xf numFmtId="0" fontId="7" fillId="0" borderId="6" xfId="0" applyFont="1" applyFill="1" applyBorder="1" applyAlignment="1" applyProtection="1">
      <alignment horizontal="right" indent="1"/>
      <protection hidden="1"/>
    </xf>
    <xf numFmtId="0" fontId="8" fillId="0" borderId="9" xfId="0" applyFont="1" applyBorder="1" applyProtection="1">
      <protection hidden="1"/>
    </xf>
    <xf numFmtId="0" fontId="8" fillId="0" borderId="0" xfId="0" applyFont="1" applyFill="1" applyProtection="1">
      <protection hidden="1"/>
    </xf>
    <xf numFmtId="0" fontId="8" fillId="0" borderId="11" xfId="0" applyFont="1" applyFill="1" applyBorder="1" applyProtection="1">
      <protection hidden="1"/>
    </xf>
    <xf numFmtId="0" fontId="8" fillId="0" borderId="9" xfId="0" applyFont="1" applyFill="1" applyBorder="1" applyProtection="1">
      <protection hidden="1"/>
    </xf>
    <xf numFmtId="0" fontId="8" fillId="0" borderId="10" xfId="0" applyFont="1" applyFill="1" applyBorder="1" applyProtection="1">
      <protection hidden="1"/>
    </xf>
    <xf numFmtId="0" fontId="7" fillId="0" borderId="10" xfId="0" applyFont="1" applyFill="1" applyBorder="1" applyProtection="1">
      <protection hidden="1"/>
    </xf>
    <xf numFmtId="167" fontId="7" fillId="0" borderId="6" xfId="0" applyNumberFormat="1" applyFont="1" applyBorder="1" applyAlignment="1" applyProtection="1">
      <alignment horizontal="right" indent="1"/>
      <protection hidden="1"/>
    </xf>
    <xf numFmtId="167" fontId="7" fillId="0" borderId="5" xfId="0" applyNumberFormat="1" applyFont="1" applyBorder="1" applyAlignment="1" applyProtection="1">
      <alignment horizontal="right" indent="1"/>
      <protection hidden="1"/>
    </xf>
    <xf numFmtId="167" fontId="7" fillId="0" borderId="11" xfId="0" applyNumberFormat="1" applyFont="1" applyBorder="1" applyAlignment="1" applyProtection="1">
      <alignment horizontal="right" indent="1"/>
      <protection hidden="1"/>
    </xf>
    <xf numFmtId="167" fontId="7" fillId="0" borderId="10" xfId="0" applyNumberFormat="1" applyFont="1" applyBorder="1" applyAlignment="1" applyProtection="1">
      <alignment horizontal="right" indent="1"/>
      <protection hidden="1"/>
    </xf>
    <xf numFmtId="165" fontId="7" fillId="0" borderId="6" xfId="0" applyNumberFormat="1" applyFont="1" applyBorder="1" applyAlignment="1" applyProtection="1">
      <alignment horizontal="right" indent="1"/>
      <protection hidden="1"/>
    </xf>
    <xf numFmtId="165" fontId="7" fillId="0" borderId="5" xfId="0" applyNumberFormat="1" applyFont="1" applyBorder="1" applyAlignment="1" applyProtection="1">
      <alignment horizontal="right" indent="1"/>
      <protection hidden="1"/>
    </xf>
    <xf numFmtId="165" fontId="7" fillId="0" borderId="10" xfId="0" applyNumberFormat="1" applyFont="1" applyBorder="1" applyAlignment="1" applyProtection="1">
      <alignment horizontal="right" indent="1"/>
      <protection hidden="1"/>
    </xf>
    <xf numFmtId="166" fontId="7" fillId="0" borderId="6" xfId="0" applyNumberFormat="1" applyFont="1" applyBorder="1" applyAlignment="1" applyProtection="1">
      <alignment horizontal="right" indent="1"/>
      <protection hidden="1"/>
    </xf>
    <xf numFmtId="166" fontId="7" fillId="0" borderId="5" xfId="0" applyNumberFormat="1" applyFont="1" applyBorder="1" applyAlignment="1" applyProtection="1">
      <alignment horizontal="right" indent="1"/>
      <protection hidden="1"/>
    </xf>
    <xf numFmtId="166" fontId="7" fillId="0" borderId="11" xfId="0" applyNumberFormat="1" applyFont="1" applyBorder="1" applyAlignment="1" applyProtection="1">
      <alignment horizontal="right" indent="1"/>
      <protection hidden="1"/>
    </xf>
    <xf numFmtId="166" fontId="7" fillId="0" borderId="10" xfId="0" applyNumberFormat="1" applyFont="1" applyBorder="1" applyAlignment="1" applyProtection="1">
      <alignment horizontal="right" indent="1"/>
      <protection hidden="1"/>
    </xf>
    <xf numFmtId="0" fontId="8" fillId="0" borderId="0" xfId="0" applyFont="1" applyAlignment="1" applyProtection="1">
      <alignment horizontal="right"/>
      <protection hidden="1"/>
    </xf>
    <xf numFmtId="2" fontId="7" fillId="0" borderId="6" xfId="0" applyNumberFormat="1" applyFont="1" applyFill="1" applyBorder="1" applyAlignment="1" applyProtection="1">
      <alignment horizontal="right" indent="1"/>
      <protection hidden="1"/>
    </xf>
    <xf numFmtId="2" fontId="7" fillId="0" borderId="5" xfId="0" applyNumberFormat="1" applyFont="1" applyFill="1" applyBorder="1" applyAlignment="1" applyProtection="1">
      <alignment horizontal="right" indent="1"/>
      <protection hidden="1"/>
    </xf>
    <xf numFmtId="2" fontId="7" fillId="0" borderId="11" xfId="0" applyNumberFormat="1" applyFont="1" applyFill="1" applyBorder="1" applyAlignment="1" applyProtection="1">
      <alignment horizontal="right" indent="1"/>
      <protection hidden="1"/>
    </xf>
    <xf numFmtId="2" fontId="7" fillId="0" borderId="10" xfId="0" applyNumberFormat="1" applyFont="1" applyFill="1" applyBorder="1" applyAlignment="1" applyProtection="1">
      <alignment horizontal="right" indent="1"/>
      <protection hidden="1"/>
    </xf>
    <xf numFmtId="0" fontId="7" fillId="0" borderId="11" xfId="0" applyFont="1" applyFill="1" applyBorder="1" applyProtection="1">
      <protection hidden="1"/>
    </xf>
    <xf numFmtId="0" fontId="8" fillId="0" borderId="6" xfId="0" applyFont="1" applyBorder="1" applyProtection="1">
      <protection hidden="1"/>
    </xf>
    <xf numFmtId="165" fontId="7" fillId="0" borderId="5" xfId="0" applyNumberFormat="1" applyFont="1" applyFill="1" applyBorder="1" applyAlignment="1" applyProtection="1">
      <alignment horizontal="right" indent="1"/>
      <protection hidden="1"/>
    </xf>
    <xf numFmtId="165" fontId="7" fillId="0" borderId="11" xfId="0" applyNumberFormat="1" applyFont="1" applyBorder="1" applyAlignment="1" applyProtection="1">
      <alignment horizontal="right" indent="1"/>
      <protection hidden="1"/>
    </xf>
    <xf numFmtId="0" fontId="8" fillId="0" borderId="0" xfId="0" quotePrefix="1" applyFont="1" applyFill="1" applyAlignment="1" applyProtection="1">
      <alignment horizontal="left" indent="1"/>
      <protection hidden="1"/>
    </xf>
    <xf numFmtId="165" fontId="7" fillId="0" borderId="6" xfId="0" applyNumberFormat="1" applyFont="1" applyBorder="1" applyAlignment="1" applyProtection="1">
      <alignment horizontal="right" wrapText="1" indent="1"/>
      <protection hidden="1"/>
    </xf>
    <xf numFmtId="0" fontId="16" fillId="0" borderId="0" xfId="0" applyFont="1" applyBorder="1" applyAlignment="1" applyProtection="1">
      <alignment horizontal="right" vertical="center"/>
      <protection hidden="1"/>
    </xf>
    <xf numFmtId="0" fontId="18" fillId="0" borderId="0" xfId="0" applyFont="1" applyBorder="1" applyAlignment="1" applyProtection="1">
      <alignment horizontal="left" vertical="center" indent="1"/>
      <protection hidden="1"/>
    </xf>
    <xf numFmtId="165" fontId="8" fillId="4" borderId="21" xfId="1" applyNumberFormat="1" applyFont="1" applyFill="1" applyBorder="1" applyAlignment="1" applyProtection="1">
      <alignment horizontal="right" vertical="center" indent="1"/>
      <protection locked="0" hidden="1"/>
    </xf>
    <xf numFmtId="165" fontId="8" fillId="4" borderId="21" xfId="0" applyNumberFormat="1" applyFont="1" applyFill="1" applyBorder="1" applyAlignment="1" applyProtection="1">
      <alignment horizontal="right" vertical="center" indent="1"/>
      <protection locked="0" hidden="1"/>
    </xf>
    <xf numFmtId="167" fontId="8" fillId="4" borderId="21" xfId="0" applyNumberFormat="1" applyFont="1" applyFill="1" applyBorder="1" applyAlignment="1" applyProtection="1">
      <alignment horizontal="right" vertical="center" indent="1"/>
      <protection locked="0" hidden="1"/>
    </xf>
    <xf numFmtId="166" fontId="8" fillId="4" borderId="21" xfId="0" applyNumberFormat="1" applyFont="1" applyFill="1" applyBorder="1" applyAlignment="1" applyProtection="1">
      <alignment horizontal="right" vertical="center" indent="1"/>
      <protection locked="0" hidden="1"/>
    </xf>
    <xf numFmtId="2" fontId="8" fillId="4" borderId="21" xfId="0" applyNumberFormat="1" applyFont="1" applyFill="1" applyBorder="1" applyAlignment="1" applyProtection="1">
      <alignment horizontal="right" vertical="center" indent="1"/>
      <protection locked="0" hidden="1"/>
    </xf>
    <xf numFmtId="0" fontId="2" fillId="0" borderId="0" xfId="0" applyFont="1" applyAlignment="1" applyProtection="1">
      <protection hidden="1"/>
    </xf>
    <xf numFmtId="0" fontId="8" fillId="4" borderId="21" xfId="0" applyNumberFormat="1" applyFont="1" applyFill="1" applyBorder="1" applyAlignment="1" applyProtection="1">
      <alignment horizontal="center" vertical="center"/>
      <protection locked="0" hidden="1"/>
    </xf>
    <xf numFmtId="0" fontId="2" fillId="0" borderId="15" xfId="0" applyFont="1" applyBorder="1" applyAlignment="1" applyProtection="1">
      <alignment vertical="top"/>
      <protection hidden="1"/>
    </xf>
    <xf numFmtId="0" fontId="2" fillId="0" borderId="0" xfId="0" applyFont="1" applyBorder="1" applyAlignment="1" applyProtection="1">
      <alignment vertical="top"/>
      <protection hidden="1"/>
    </xf>
    <xf numFmtId="0" fontId="2" fillId="0" borderId="16" xfId="0" applyFont="1" applyBorder="1" applyAlignment="1" applyProtection="1">
      <alignment vertical="top"/>
      <protection hidden="1"/>
    </xf>
    <xf numFmtId="0" fontId="2" fillId="0" borderId="0" xfId="0" applyFont="1" applyAlignment="1" applyProtection="1">
      <alignment vertical="top"/>
      <protection hidden="1"/>
    </xf>
    <xf numFmtId="0" fontId="25" fillId="0" borderId="15" xfId="0" applyFont="1" applyBorder="1" applyProtection="1">
      <protection hidden="1"/>
    </xf>
    <xf numFmtId="0" fontId="25" fillId="0" borderId="0" xfId="0" applyFont="1" applyBorder="1" applyProtection="1">
      <protection hidden="1"/>
    </xf>
    <xf numFmtId="0" fontId="25" fillId="0" borderId="16" xfId="0" applyFont="1" applyBorder="1" applyProtection="1">
      <protection hidden="1"/>
    </xf>
    <xf numFmtId="0" fontId="25" fillId="0" borderId="0" xfId="0" applyFont="1" applyProtection="1">
      <protection hidden="1"/>
    </xf>
    <xf numFmtId="0" fontId="26" fillId="10" borderId="0" xfId="0" applyFont="1" applyFill="1"/>
    <xf numFmtId="0" fontId="25" fillId="10" borderId="0" xfId="0" applyFont="1" applyFill="1"/>
    <xf numFmtId="0" fontId="2" fillId="0" borderId="0" xfId="0" applyFont="1" applyFill="1" applyAlignment="1">
      <alignment horizontal="left"/>
    </xf>
    <xf numFmtId="0" fontId="2" fillId="0" borderId="0" xfId="0" applyFont="1" applyFill="1"/>
    <xf numFmtId="165" fontId="2" fillId="0" borderId="21" xfId="1" applyNumberFormat="1" applyFont="1" applyFill="1" applyBorder="1"/>
    <xf numFmtId="165" fontId="27" fillId="0" borderId="21" xfId="1" applyNumberFormat="1" applyFont="1" applyFill="1" applyBorder="1"/>
    <xf numFmtId="165" fontId="28" fillId="0" borderId="21" xfId="1" applyNumberFormat="1" applyFont="1" applyFill="1" applyBorder="1"/>
    <xf numFmtId="166" fontId="2" fillId="0" borderId="21" xfId="0" applyNumberFormat="1" applyFont="1" applyFill="1" applyBorder="1"/>
    <xf numFmtId="166" fontId="27" fillId="0" borderId="21" xfId="1" applyNumberFormat="1" applyFont="1" applyFill="1" applyBorder="1" applyAlignment="1">
      <alignment horizontal="right"/>
    </xf>
    <xf numFmtId="166" fontId="28" fillId="0" borderId="21" xfId="1" applyNumberFormat="1" applyFont="1" applyFill="1" applyBorder="1" applyAlignment="1">
      <alignment horizontal="right"/>
    </xf>
    <xf numFmtId="167" fontId="2" fillId="0" borderId="21" xfId="0" applyNumberFormat="1" applyFont="1" applyFill="1" applyBorder="1"/>
    <xf numFmtId="167" fontId="28" fillId="0" borderId="21" xfId="0" applyNumberFormat="1" applyFont="1" applyFill="1" applyBorder="1"/>
    <xf numFmtId="0" fontId="2" fillId="0" borderId="21" xfId="0" applyFont="1" applyFill="1" applyBorder="1"/>
    <xf numFmtId="0" fontId="20" fillId="0" borderId="0" xfId="0" applyFont="1" applyFill="1"/>
    <xf numFmtId="0" fontId="27" fillId="0" borderId="0" xfId="0" applyFont="1" applyProtection="1">
      <protection hidden="1"/>
    </xf>
    <xf numFmtId="0" fontId="27" fillId="0" borderId="15" xfId="0" applyFont="1" applyBorder="1" applyProtection="1">
      <protection hidden="1"/>
    </xf>
    <xf numFmtId="0" fontId="27" fillId="0" borderId="0" xfId="0" applyFont="1" applyBorder="1" applyProtection="1">
      <protection hidden="1"/>
    </xf>
    <xf numFmtId="0" fontId="27" fillId="0" borderId="16" xfId="0" applyFont="1" applyBorder="1" applyProtection="1">
      <protection hidden="1"/>
    </xf>
    <xf numFmtId="0" fontId="8" fillId="0" borderId="4" xfId="0" applyFont="1" applyBorder="1" applyAlignment="1" applyProtection="1">
      <alignment horizontal="right"/>
      <protection hidden="1"/>
    </xf>
    <xf numFmtId="0" fontId="8" fillId="0" borderId="5" xfId="0" applyFont="1" applyBorder="1" applyAlignment="1" applyProtection="1">
      <alignment horizontal="right"/>
      <protection hidden="1"/>
    </xf>
    <xf numFmtId="0" fontId="8" fillId="0" borderId="11" xfId="0" applyFont="1" applyBorder="1" applyAlignment="1" applyProtection="1">
      <alignment horizontal="right"/>
      <protection hidden="1"/>
    </xf>
    <xf numFmtId="0" fontId="8" fillId="0" borderId="9" xfId="0" applyFont="1" applyBorder="1" applyAlignment="1" applyProtection="1">
      <alignment horizontal="right"/>
      <protection hidden="1"/>
    </xf>
    <xf numFmtId="0" fontId="8" fillId="0" borderId="10" xfId="0" applyFont="1" applyBorder="1" applyAlignment="1" applyProtection="1">
      <alignment horizontal="right"/>
      <protection hidden="1"/>
    </xf>
    <xf numFmtId="0" fontId="8" fillId="0" borderId="10" xfId="0" applyFont="1" applyFill="1" applyBorder="1" applyAlignment="1" applyProtection="1">
      <alignment horizontal="right"/>
      <protection hidden="1"/>
    </xf>
    <xf numFmtId="0" fontId="8" fillId="0" borderId="0" xfId="0" applyFont="1" applyFill="1" applyAlignment="1" applyProtection="1">
      <alignment horizontal="right"/>
      <protection hidden="1"/>
    </xf>
    <xf numFmtId="0" fontId="2" fillId="0" borderId="21" xfId="0" applyFont="1" applyFill="1" applyBorder="1" applyAlignment="1">
      <alignment horizontal="right"/>
    </xf>
    <xf numFmtId="0" fontId="10" fillId="3" borderId="0" xfId="0" applyFont="1" applyFill="1" applyBorder="1" applyAlignment="1" applyProtection="1">
      <alignment horizontal="left" vertical="center"/>
      <protection hidden="1"/>
    </xf>
    <xf numFmtId="0" fontId="9" fillId="0" borderId="0" xfId="0" applyFont="1" applyAlignment="1" applyProtection="1">
      <alignment horizontal="center"/>
      <protection hidden="1"/>
    </xf>
    <xf numFmtId="0" fontId="2" fillId="11" borderId="0" xfId="0" applyFont="1" applyFill="1" applyBorder="1" applyProtection="1">
      <protection hidden="1"/>
    </xf>
    <xf numFmtId="165" fontId="2" fillId="11" borderId="0" xfId="0" applyNumberFormat="1" applyFont="1" applyFill="1" applyBorder="1" applyAlignment="1" applyProtection="1">
      <alignment horizontal="right" indent="1"/>
      <protection hidden="1"/>
    </xf>
    <xf numFmtId="0" fontId="2" fillId="11" borderId="0" xfId="0" applyFont="1" applyFill="1" applyBorder="1" applyAlignment="1" applyProtection="1">
      <alignment horizontal="center" vertical="center"/>
      <protection hidden="1"/>
    </xf>
    <xf numFmtId="0" fontId="2" fillId="11" borderId="0" xfId="0" applyFont="1" applyFill="1" applyProtection="1">
      <protection hidden="1"/>
    </xf>
    <xf numFmtId="0" fontId="2" fillId="11" borderId="14" xfId="0" applyFont="1" applyFill="1" applyBorder="1" applyProtection="1">
      <protection hidden="1"/>
    </xf>
    <xf numFmtId="0" fontId="2" fillId="11" borderId="16" xfId="0" applyFont="1" applyFill="1" applyBorder="1" applyProtection="1">
      <protection hidden="1"/>
    </xf>
    <xf numFmtId="0" fontId="2" fillId="11" borderId="16" xfId="0" applyFont="1" applyFill="1" applyBorder="1" applyAlignment="1" applyProtection="1">
      <alignment horizontal="left" vertical="center"/>
      <protection hidden="1"/>
    </xf>
    <xf numFmtId="0" fontId="2" fillId="11" borderId="0" xfId="0" applyFont="1" applyFill="1" applyAlignment="1" applyProtection="1">
      <alignment horizontal="left" vertical="center"/>
      <protection hidden="1"/>
    </xf>
    <xf numFmtId="0" fontId="8" fillId="11" borderId="19" xfId="0" applyFont="1" applyFill="1" applyBorder="1" applyProtection="1">
      <protection hidden="1"/>
    </xf>
    <xf numFmtId="0" fontId="8" fillId="11" borderId="0" xfId="0" applyFont="1" applyFill="1" applyProtection="1">
      <protection hidden="1"/>
    </xf>
    <xf numFmtId="0" fontId="2" fillId="11" borderId="12" xfId="0" applyFont="1" applyFill="1" applyBorder="1" applyProtection="1">
      <protection hidden="1"/>
    </xf>
    <xf numFmtId="0" fontId="2" fillId="11" borderId="15" xfId="0" applyFont="1" applyFill="1" applyBorder="1" applyProtection="1">
      <protection hidden="1"/>
    </xf>
    <xf numFmtId="0" fontId="2" fillId="11" borderId="15" xfId="0" applyFont="1" applyFill="1" applyBorder="1" applyAlignment="1" applyProtection="1">
      <alignment horizontal="left" vertical="center"/>
      <protection hidden="1"/>
    </xf>
    <xf numFmtId="0" fontId="8" fillId="11" borderId="17" xfId="0" applyFont="1" applyFill="1" applyBorder="1" applyAlignment="1" applyProtection="1">
      <alignment horizontal="left" vertical="center" wrapText="1"/>
      <protection hidden="1"/>
    </xf>
    <xf numFmtId="0" fontId="2" fillId="11" borderId="13" xfId="0" applyFont="1" applyFill="1" applyBorder="1" applyProtection="1">
      <protection hidden="1"/>
    </xf>
    <xf numFmtId="0" fontId="8" fillId="11" borderId="0" xfId="0" applyFont="1" applyFill="1" applyBorder="1" applyAlignment="1" applyProtection="1">
      <alignment horizontal="left" vertical="top" wrapText="1" indent="2"/>
      <protection hidden="1"/>
    </xf>
    <xf numFmtId="0" fontId="8" fillId="11" borderId="18" xfId="0" applyFont="1" applyFill="1" applyBorder="1" applyAlignment="1" applyProtection="1">
      <alignment horizontal="left" vertical="center" wrapText="1"/>
      <protection hidden="1"/>
    </xf>
    <xf numFmtId="0" fontId="8" fillId="11" borderId="18" xfId="0" applyFont="1" applyFill="1" applyBorder="1" applyProtection="1">
      <protection hidden="1"/>
    </xf>
    <xf numFmtId="165" fontId="8" fillId="11" borderId="18" xfId="0" applyNumberFormat="1" applyFont="1" applyFill="1" applyBorder="1" applyAlignment="1" applyProtection="1">
      <alignment horizontal="center" vertical="center"/>
      <protection hidden="1"/>
    </xf>
    <xf numFmtId="165" fontId="8" fillId="11" borderId="18" xfId="0" applyNumberFormat="1" applyFont="1" applyFill="1" applyBorder="1" applyAlignment="1" applyProtection="1">
      <alignment horizontal="right" indent="1"/>
      <protection hidden="1"/>
    </xf>
    <xf numFmtId="0" fontId="8" fillId="11" borderId="18" xfId="0" applyFont="1" applyFill="1" applyBorder="1" applyAlignment="1" applyProtection="1">
      <alignment horizontal="center" vertical="center"/>
      <protection hidden="1"/>
    </xf>
    <xf numFmtId="0" fontId="0" fillId="11" borderId="0" xfId="0" applyFill="1"/>
    <xf numFmtId="0" fontId="33" fillId="11" borderId="0" xfId="0" applyFont="1" applyFill="1" applyAlignment="1">
      <alignment horizontal="center" vertical="center"/>
    </xf>
    <xf numFmtId="0" fontId="2" fillId="0" borderId="0" xfId="0" applyFont="1" applyBorder="1" applyAlignment="1" applyProtection="1">
      <alignment horizontal="left"/>
      <protection hidden="1"/>
    </xf>
    <xf numFmtId="0" fontId="26" fillId="3" borderId="0" xfId="0" applyFont="1" applyFill="1" applyBorder="1" applyAlignment="1" applyProtection="1">
      <alignment wrapText="1"/>
      <protection hidden="1"/>
    </xf>
    <xf numFmtId="0" fontId="2" fillId="0" borderId="23" xfId="0" applyFont="1" applyFill="1" applyBorder="1" applyAlignment="1">
      <alignment horizontal="left"/>
    </xf>
    <xf numFmtId="0" fontId="2" fillId="0" borderId="23" xfId="0" applyFont="1" applyFill="1" applyBorder="1"/>
    <xf numFmtId="0" fontId="4" fillId="2" borderId="27" xfId="0" applyFont="1" applyFill="1" applyBorder="1" applyAlignment="1">
      <alignment horizontal="center" vertical="center"/>
    </xf>
    <xf numFmtId="0" fontId="2" fillId="2" borderId="30"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21" xfId="0" applyFont="1" applyFill="1" applyBorder="1"/>
    <xf numFmtId="0" fontId="4" fillId="0" borderId="0" xfId="0" applyFont="1" applyFill="1"/>
    <xf numFmtId="0" fontId="4" fillId="0" borderId="0" xfId="0" applyFont="1" applyFill="1" applyAlignment="1">
      <alignment horizontal="center"/>
    </xf>
    <xf numFmtId="0" fontId="39" fillId="0" borderId="0" xfId="0" applyFont="1" applyFill="1"/>
    <xf numFmtId="0" fontId="2" fillId="2" borderId="22" xfId="0" applyFont="1" applyFill="1" applyBorder="1"/>
    <xf numFmtId="0" fontId="2" fillId="2" borderId="26" xfId="0" applyFont="1" applyFill="1" applyBorder="1"/>
    <xf numFmtId="0" fontId="2" fillId="2" borderId="23" xfId="0" applyFont="1" applyFill="1" applyBorder="1"/>
    <xf numFmtId="0" fontId="2" fillId="12" borderId="26" xfId="0" applyFont="1" applyFill="1" applyBorder="1"/>
    <xf numFmtId="0" fontId="6" fillId="0" borderId="3" xfId="0" applyFont="1" applyFill="1" applyBorder="1" applyAlignment="1" applyProtection="1">
      <alignment horizontal="center" vertical="center" wrapText="1"/>
      <protection hidden="1"/>
    </xf>
    <xf numFmtId="0" fontId="2" fillId="0" borderId="21" xfId="0" applyFont="1" applyFill="1" applyBorder="1" applyAlignment="1">
      <alignment horizontal="center"/>
    </xf>
    <xf numFmtId="0" fontId="2" fillId="2" borderId="3" xfId="0" applyFont="1" applyFill="1" applyBorder="1" applyAlignment="1">
      <alignment horizontal="center"/>
    </xf>
    <xf numFmtId="0" fontId="2" fillId="0" borderId="22" xfId="0" applyFont="1" applyFill="1" applyBorder="1" applyAlignment="1">
      <alignment horizontal="center"/>
    </xf>
    <xf numFmtId="0" fontId="6" fillId="0" borderId="6" xfId="0" applyFont="1" applyFill="1" applyBorder="1" applyAlignment="1" applyProtection="1">
      <alignment horizontal="center" vertical="center" wrapText="1"/>
      <protection hidden="1"/>
    </xf>
    <xf numFmtId="0" fontId="2" fillId="0" borderId="23" xfId="0" applyFont="1" applyFill="1" applyBorder="1" applyAlignment="1">
      <alignment horizontal="center"/>
    </xf>
    <xf numFmtId="0" fontId="6" fillId="0" borderId="11" xfId="0" applyFont="1" applyFill="1" applyBorder="1" applyAlignment="1" applyProtection="1">
      <alignment horizontal="center" vertical="center" wrapText="1"/>
      <protection hidden="1"/>
    </xf>
    <xf numFmtId="0" fontId="2" fillId="2" borderId="1" xfId="0" applyFont="1" applyFill="1" applyBorder="1" applyAlignment="1">
      <alignment horizontal="center"/>
    </xf>
    <xf numFmtId="0" fontId="2" fillId="10" borderId="0" xfId="0" applyFont="1" applyFill="1"/>
    <xf numFmtId="0" fontId="0" fillId="9" borderId="8" xfId="0" applyFill="1" applyBorder="1"/>
    <xf numFmtId="0" fontId="0" fillId="9" borderId="11" xfId="0" applyFill="1" applyBorder="1"/>
    <xf numFmtId="0" fontId="0" fillId="9" borderId="22" xfId="0" applyFill="1" applyBorder="1"/>
    <xf numFmtId="0" fontId="0" fillId="9" borderId="26" xfId="0" applyFill="1" applyBorder="1"/>
    <xf numFmtId="0" fontId="7" fillId="0" borderId="5" xfId="0" applyFont="1" applyBorder="1" applyProtection="1">
      <protection hidden="1"/>
    </xf>
    <xf numFmtId="0" fontId="7" fillId="0" borderId="6" xfId="0" applyFont="1" applyBorder="1" applyProtection="1">
      <protection hidden="1"/>
    </xf>
    <xf numFmtId="0" fontId="3" fillId="3" borderId="0" xfId="0" applyFont="1" applyFill="1" applyBorder="1" applyAlignment="1" applyProtection="1">
      <alignment horizontal="center" vertical="center"/>
      <protection hidden="1"/>
    </xf>
    <xf numFmtId="0" fontId="8" fillId="0" borderId="0" xfId="0" applyFont="1" applyFill="1" applyBorder="1" applyAlignment="1" applyProtection="1">
      <alignment horizontal="left" vertical="center" indent="1"/>
      <protection hidden="1"/>
    </xf>
    <xf numFmtId="0" fontId="10" fillId="3" borderId="0" xfId="0" applyFont="1" applyFill="1" applyBorder="1" applyAlignment="1" applyProtection="1">
      <alignment vertical="center"/>
      <protection hidden="1"/>
    </xf>
    <xf numFmtId="0" fontId="8" fillId="0" borderId="0" xfId="0" applyFont="1" applyAlignment="1" applyProtection="1">
      <alignment horizontal="left" vertical="top" wrapText="1" indent="1"/>
      <protection hidden="1"/>
    </xf>
    <xf numFmtId="0" fontId="29" fillId="0" borderId="0" xfId="0" applyFont="1" applyAlignment="1" applyProtection="1">
      <alignment horizontal="left"/>
      <protection hidden="1"/>
    </xf>
    <xf numFmtId="0" fontId="8" fillId="0" borderId="1" xfId="0" applyFont="1" applyBorder="1" applyAlignment="1" applyProtection="1">
      <alignment horizontal="left" vertical="center" indent="1"/>
      <protection hidden="1"/>
    </xf>
    <xf numFmtId="0" fontId="12" fillId="0" borderId="21" xfId="2" applyFont="1" applyFill="1" applyBorder="1" applyAlignment="1" applyProtection="1">
      <alignment horizontal="center" vertical="center"/>
      <protection hidden="1"/>
    </xf>
    <xf numFmtId="0" fontId="8" fillId="0" borderId="21" xfId="0" applyFont="1" applyBorder="1" applyAlignment="1" applyProtection="1">
      <alignment horizontal="left" vertical="center" indent="1"/>
      <protection hidden="1"/>
    </xf>
    <xf numFmtId="0" fontId="12" fillId="0" borderId="0" xfId="2" applyFont="1" applyBorder="1" applyAlignment="1" applyProtection="1">
      <alignment horizontal="left" vertical="center"/>
      <protection hidden="1"/>
    </xf>
    <xf numFmtId="0" fontId="8" fillId="0" borderId="0" xfId="0" applyFont="1" applyBorder="1" applyAlignment="1" applyProtection="1">
      <alignment horizontal="left" vertical="top" wrapText="1"/>
      <protection hidden="1"/>
    </xf>
    <xf numFmtId="0" fontId="8" fillId="4" borderId="21" xfId="0" applyFont="1" applyFill="1" applyBorder="1" applyAlignment="1" applyProtection="1">
      <alignment horizontal="center" vertical="center"/>
      <protection locked="0" hidden="1"/>
    </xf>
    <xf numFmtId="165" fontId="8" fillId="4" borderId="21" xfId="1" applyNumberFormat="1" applyFont="1" applyFill="1" applyBorder="1" applyAlignment="1" applyProtection="1">
      <alignment horizontal="center" vertical="center"/>
      <protection locked="0" hidden="1"/>
    </xf>
    <xf numFmtId="0" fontId="6" fillId="0" borderId="21" xfId="0" applyFont="1" applyFill="1" applyBorder="1" applyAlignment="1" applyProtection="1">
      <alignment horizontal="center" vertical="center" wrapText="1"/>
      <protection locked="0" hidden="1"/>
    </xf>
    <xf numFmtId="168" fontId="8" fillId="4" borderId="21" xfId="0" applyNumberFormat="1" applyFont="1" applyFill="1" applyBorder="1" applyAlignment="1" applyProtection="1">
      <alignment horizontal="right" vertical="center" indent="1"/>
      <protection locked="0" hidden="1"/>
    </xf>
    <xf numFmtId="0" fontId="8" fillId="0" borderId="12" xfId="0" applyFont="1" applyBorder="1" applyProtection="1">
      <protection hidden="1"/>
    </xf>
    <xf numFmtId="0" fontId="8" fillId="0" borderId="13" xfId="0" applyFont="1" applyBorder="1" applyProtection="1">
      <protection hidden="1"/>
    </xf>
    <xf numFmtId="0" fontId="8" fillId="0" borderId="14" xfId="0" applyFont="1" applyBorder="1" applyProtection="1">
      <protection hidden="1"/>
    </xf>
    <xf numFmtId="0" fontId="21" fillId="0" borderId="15" xfId="0" applyFont="1" applyBorder="1" applyProtection="1">
      <protection hidden="1"/>
    </xf>
    <xf numFmtId="0" fontId="21" fillId="0" borderId="0" xfId="0" applyFont="1" applyBorder="1" applyProtection="1">
      <protection hidden="1"/>
    </xf>
    <xf numFmtId="0" fontId="21" fillId="0" borderId="0" xfId="0" applyFont="1" applyAlignment="1" applyProtection="1">
      <alignment horizontal="left"/>
      <protection hidden="1"/>
    </xf>
    <xf numFmtId="0" fontId="21" fillId="0" borderId="16" xfId="0" applyFont="1" applyBorder="1" applyProtection="1">
      <protection hidden="1"/>
    </xf>
    <xf numFmtId="0" fontId="21" fillId="0" borderId="0" xfId="0" applyFont="1" applyProtection="1">
      <protection hidden="1"/>
    </xf>
    <xf numFmtId="0" fontId="8" fillId="0" borderId="21" xfId="0" applyFont="1" applyBorder="1" applyAlignment="1" applyProtection="1">
      <alignment horizontal="center"/>
      <protection hidden="1"/>
    </xf>
    <xf numFmtId="0" fontId="14" fillId="0" borderId="0" xfId="0" applyFont="1" applyBorder="1" applyAlignment="1" applyProtection="1">
      <alignment vertical="center"/>
      <protection hidden="1"/>
    </xf>
    <xf numFmtId="0" fontId="8" fillId="0" borderId="21" xfId="0" applyFont="1" applyBorder="1" applyAlignment="1" applyProtection="1">
      <alignment horizontal="center" vertical="center"/>
      <protection hidden="1"/>
    </xf>
    <xf numFmtId="0" fontId="8" fillId="0" borderId="3" xfId="0" applyFont="1" applyBorder="1" applyAlignment="1" applyProtection="1">
      <alignment horizontal="left" vertical="center" indent="1"/>
      <protection hidden="1"/>
    </xf>
    <xf numFmtId="0" fontId="8" fillId="0" borderId="3" xfId="0" applyFont="1" applyFill="1" applyBorder="1" applyAlignment="1" applyProtection="1">
      <alignment horizontal="left" vertical="center" indent="1"/>
      <protection hidden="1"/>
    </xf>
    <xf numFmtId="0" fontId="8" fillId="0" borderId="17" xfId="0" applyFont="1" applyBorder="1" applyProtection="1">
      <protection hidden="1"/>
    </xf>
    <xf numFmtId="0" fontId="8" fillId="0" borderId="24" xfId="0" applyFont="1" applyBorder="1" applyAlignment="1" applyProtection="1">
      <alignment horizontal="left" vertical="center" indent="1"/>
      <protection hidden="1"/>
    </xf>
    <xf numFmtId="0" fontId="8" fillId="0" borderId="0" xfId="0" applyFont="1" applyAlignment="1" applyProtection="1">
      <alignment horizontal="left" vertical="center" indent="1"/>
      <protection hidden="1"/>
    </xf>
    <xf numFmtId="0" fontId="8" fillId="0" borderId="0" xfId="0" applyFont="1" applyAlignment="1" applyProtection="1">
      <protection hidden="1"/>
    </xf>
    <xf numFmtId="0" fontId="10" fillId="3" borderId="0" xfId="0" applyFont="1" applyFill="1" applyAlignment="1" applyProtection="1">
      <alignment vertical="center"/>
      <protection hidden="1"/>
    </xf>
    <xf numFmtId="0" fontId="7" fillId="4" borderId="25" xfId="0" applyFont="1" applyFill="1" applyBorder="1" applyAlignment="1" applyProtection="1">
      <alignment horizontal="left" vertical="center" indent="1"/>
      <protection locked="0" hidden="1"/>
    </xf>
    <xf numFmtId="165" fontId="8" fillId="4" borderId="21" xfId="0" applyNumberFormat="1" applyFont="1" applyFill="1" applyBorder="1" applyAlignment="1" applyProtection="1">
      <alignment horizontal="center" vertical="center" wrapText="1"/>
      <protection locked="0" hidden="1"/>
    </xf>
    <xf numFmtId="0" fontId="8" fillId="0" borderId="0" xfId="0" applyFont="1" applyProtection="1">
      <protection locked="0" hidden="1"/>
    </xf>
    <xf numFmtId="164" fontId="2" fillId="0" borderId="23" xfId="0" applyNumberFormat="1" applyFont="1" applyFill="1" applyBorder="1" applyAlignment="1">
      <alignment horizontal="center"/>
    </xf>
    <xf numFmtId="0" fontId="9" fillId="9" borderId="9" xfId="0" applyFont="1" applyFill="1" applyBorder="1" applyAlignment="1" applyProtection="1">
      <alignment horizontal="left" vertical="top" wrapText="1" indent="1"/>
      <protection hidden="1"/>
    </xf>
    <xf numFmtId="0" fontId="8" fillId="0" borderId="0" xfId="0" applyFont="1" applyAlignment="1" applyProtection="1">
      <alignment horizontal="left" vertical="top" wrapText="1" indent="1"/>
      <protection hidden="1"/>
    </xf>
    <xf numFmtId="0" fontId="6" fillId="0" borderId="0" xfId="2" applyFont="1" applyBorder="1" applyAlignment="1" applyProtection="1">
      <alignment wrapText="1"/>
      <protection hidden="1"/>
    </xf>
    <xf numFmtId="0" fontId="9" fillId="9" borderId="11" xfId="0" applyFont="1" applyFill="1" applyBorder="1" applyAlignment="1" applyProtection="1">
      <alignment vertical="top" wrapText="1"/>
      <protection hidden="1"/>
    </xf>
    <xf numFmtId="0" fontId="8" fillId="9" borderId="8" xfId="0" applyFont="1" applyFill="1" applyBorder="1" applyAlignment="1" applyProtection="1">
      <alignment horizontal="left" vertical="top" wrapText="1"/>
      <protection hidden="1"/>
    </xf>
    <xf numFmtId="0" fontId="8" fillId="0" borderId="0" xfId="0" applyFont="1" applyAlignment="1" applyProtection="1">
      <alignment vertical="top" wrapText="1"/>
      <protection hidden="1"/>
    </xf>
    <xf numFmtId="0" fontId="0" fillId="0" borderId="0" xfId="0" applyAlignment="1" applyProtection="1">
      <protection hidden="1"/>
    </xf>
    <xf numFmtId="0" fontId="8" fillId="0" borderId="15" xfId="0" applyFont="1" applyBorder="1" applyAlignment="1" applyProtection="1">
      <alignment vertical="top"/>
      <protection hidden="1"/>
    </xf>
    <xf numFmtId="0" fontId="8" fillId="0" borderId="0" xfId="0" applyFont="1" applyBorder="1" applyAlignment="1" applyProtection="1">
      <alignment vertical="top"/>
      <protection hidden="1"/>
    </xf>
    <xf numFmtId="0" fontId="6" fillId="0" borderId="0" xfId="2" applyFont="1" applyBorder="1" applyAlignment="1" applyProtection="1">
      <alignment vertical="top" wrapText="1"/>
      <protection hidden="1"/>
    </xf>
    <xf numFmtId="0" fontId="8" fillId="0" borderId="16" xfId="0" applyFont="1" applyBorder="1" applyAlignment="1" applyProtection="1">
      <alignment vertical="top"/>
      <protection hidden="1"/>
    </xf>
    <xf numFmtId="0" fontId="8" fillId="0" borderId="0" xfId="0" applyFont="1" applyAlignment="1" applyProtection="1">
      <alignment vertical="top"/>
      <protection hidden="1"/>
    </xf>
    <xf numFmtId="0" fontId="0" fillId="0" borderId="0" xfId="0" applyAlignment="1" applyProtection="1">
      <alignment vertical="top"/>
      <protection hidden="1"/>
    </xf>
    <xf numFmtId="0" fontId="8" fillId="0" borderId="0" xfId="0" applyFont="1" applyAlignment="1">
      <alignment horizontal="center"/>
    </xf>
    <xf numFmtId="0" fontId="8" fillId="0" borderId="0" xfId="0" applyFont="1"/>
    <xf numFmtId="0" fontId="8" fillId="0" borderId="0" xfId="0" applyFont="1" applyAlignment="1">
      <alignment horizontal="left"/>
    </xf>
    <xf numFmtId="0" fontId="8" fillId="2" borderId="0" xfId="0" applyFont="1" applyFill="1" applyAlignment="1">
      <alignment vertical="center"/>
    </xf>
    <xf numFmtId="0" fontId="0" fillId="0" borderId="0" xfId="0"/>
    <xf numFmtId="0" fontId="8" fillId="0" borderId="0" xfId="0" applyFont="1" applyAlignment="1">
      <alignment horizontal="center"/>
    </xf>
    <xf numFmtId="0" fontId="7" fillId="0" borderId="0" xfId="0" applyFont="1" applyAlignment="1">
      <alignment horizontal="left"/>
    </xf>
    <xf numFmtId="0" fontId="8" fillId="0" borderId="0" xfId="0" applyFont="1"/>
    <xf numFmtId="0" fontId="8" fillId="0" borderId="0" xfId="0" applyFont="1" applyAlignment="1">
      <alignment horizontal="left"/>
    </xf>
    <xf numFmtId="0" fontId="7" fillId="2" borderId="0" xfId="0" applyFont="1" applyFill="1" applyAlignment="1">
      <alignment horizontal="left" vertical="center"/>
    </xf>
    <xf numFmtId="0" fontId="8" fillId="2" borderId="0" xfId="0" applyFont="1" applyFill="1" applyAlignment="1">
      <alignment vertical="center"/>
    </xf>
    <xf numFmtId="0" fontId="8" fillId="2" borderId="0" xfId="0" applyFont="1" applyFill="1" applyAlignment="1">
      <alignment vertical="center" wrapText="1"/>
    </xf>
    <xf numFmtId="0" fontId="21" fillId="0" borderId="0" xfId="0" applyFont="1"/>
    <xf numFmtId="0" fontId="8" fillId="0" borderId="1" xfId="0" applyFont="1" applyBorder="1" applyAlignment="1">
      <alignment horizontal="left" indent="1"/>
    </xf>
    <xf numFmtId="165" fontId="8" fillId="5" borderId="21" xfId="1" applyNumberFormat="1" applyFont="1" applyFill="1" applyBorder="1"/>
    <xf numFmtId="165" fontId="8" fillId="7" borderId="21" xfId="1" applyNumberFormat="1" applyFont="1" applyFill="1" applyBorder="1"/>
    <xf numFmtId="165" fontId="6" fillId="8" borderId="21" xfId="1" applyNumberFormat="1" applyFont="1" applyFill="1" applyBorder="1"/>
    <xf numFmtId="165" fontId="15" fillId="0" borderId="21" xfId="1" applyNumberFormat="1" applyFont="1" applyFill="1" applyBorder="1"/>
    <xf numFmtId="166" fontId="8" fillId="5" borderId="21" xfId="0" applyNumberFormat="1" applyFont="1" applyFill="1" applyBorder="1"/>
    <xf numFmtId="166" fontId="8" fillId="7" borderId="21" xfId="0" applyNumberFormat="1" applyFont="1" applyFill="1" applyBorder="1"/>
    <xf numFmtId="166" fontId="6" fillId="8" borderId="21" xfId="1" applyNumberFormat="1" applyFont="1" applyFill="1" applyBorder="1" applyAlignment="1">
      <alignment horizontal="right"/>
    </xf>
    <xf numFmtId="166" fontId="15" fillId="0" borderId="21" xfId="1" applyNumberFormat="1" applyFont="1" applyFill="1" applyBorder="1" applyAlignment="1">
      <alignment horizontal="right"/>
    </xf>
    <xf numFmtId="3" fontId="8" fillId="0" borderId="0" xfId="0" applyNumberFormat="1" applyFont="1" applyAlignment="1">
      <alignment horizontal="center"/>
    </xf>
    <xf numFmtId="0" fontId="8" fillId="0" borderId="0" xfId="0" quotePrefix="1" applyFont="1"/>
    <xf numFmtId="167" fontId="8" fillId="5" borderId="21" xfId="0" applyNumberFormat="1" applyFont="1" applyFill="1" applyBorder="1"/>
    <xf numFmtId="167" fontId="8" fillId="7" borderId="21" xfId="0" applyNumberFormat="1" applyFont="1" applyFill="1" applyBorder="1"/>
    <xf numFmtId="167" fontId="6" fillId="8" borderId="21" xfId="1" applyNumberFormat="1" applyFont="1" applyFill="1" applyBorder="1"/>
    <xf numFmtId="167" fontId="15" fillId="0" borderId="21" xfId="1" applyNumberFormat="1" applyFont="1" applyFill="1" applyBorder="1"/>
    <xf numFmtId="49" fontId="7" fillId="4" borderId="21" xfId="0" applyNumberFormat="1" applyFont="1" applyFill="1" applyBorder="1" applyAlignment="1" applyProtection="1">
      <alignment horizontal="center" vertical="center" wrapText="1"/>
      <protection locked="0" hidden="1"/>
    </xf>
    <xf numFmtId="0" fontId="8" fillId="0" borderId="0" xfId="0" applyFont="1" applyAlignment="1" applyProtection="1">
      <alignment horizontal="left" indent="1"/>
      <protection hidden="1"/>
    </xf>
    <xf numFmtId="169" fontId="0" fillId="0" borderId="0" xfId="0" applyNumberFormat="1"/>
    <xf numFmtId="0" fontId="43" fillId="0" borderId="0" xfId="0" applyFont="1" applyProtection="1">
      <protection hidden="1"/>
    </xf>
    <xf numFmtId="0" fontId="43" fillId="0" borderId="13" xfId="0" applyFont="1" applyBorder="1" applyProtection="1">
      <protection hidden="1"/>
    </xf>
    <xf numFmtId="0" fontId="8" fillId="0" borderId="0" xfId="0" applyFont="1" applyAlignment="1" applyProtection="1">
      <alignment wrapText="1"/>
      <protection hidden="1"/>
    </xf>
    <xf numFmtId="0" fontId="8" fillId="0" borderId="0" xfId="0" applyFont="1" applyAlignment="1" applyProtection="1">
      <alignment horizontal="center" wrapText="1"/>
      <protection hidden="1"/>
    </xf>
    <xf numFmtId="0" fontId="43" fillId="0" borderId="0" xfId="0" applyFont="1" applyAlignment="1" applyProtection="1">
      <alignment vertical="center"/>
      <protection hidden="1"/>
    </xf>
    <xf numFmtId="0" fontId="8" fillId="0" borderId="0" xfId="0" applyFont="1" applyAlignment="1" applyProtection="1">
      <alignment horizontal="center" vertical="center" wrapText="1"/>
      <protection hidden="1"/>
    </xf>
    <xf numFmtId="0" fontId="8" fillId="0" borderId="0" xfId="0" applyFont="1" applyAlignment="1" applyProtection="1">
      <alignment horizontal="right" indent="1"/>
      <protection hidden="1"/>
    </xf>
    <xf numFmtId="0" fontId="43" fillId="0" borderId="0" xfId="0" applyFont="1" applyAlignment="1" applyProtection="1">
      <alignment horizontal="right" indent="1"/>
      <protection hidden="1"/>
    </xf>
    <xf numFmtId="0" fontId="44" fillId="0" borderId="21" xfId="2" applyFont="1" applyFill="1" applyBorder="1" applyAlignment="1">
      <alignment horizontal="left" vertical="center" wrapText="1"/>
    </xf>
    <xf numFmtId="0" fontId="8" fillId="4" borderId="21" xfId="0" applyFont="1" applyFill="1" applyBorder="1" applyAlignment="1" applyProtection="1">
      <alignment horizontal="center" vertical="center" wrapText="1"/>
      <protection locked="0" hidden="1"/>
    </xf>
    <xf numFmtId="165" fontId="8" fillId="0" borderId="0" xfId="0" applyNumberFormat="1" applyFont="1" applyAlignment="1" applyProtection="1">
      <alignment horizontal="right" indent="1"/>
      <protection hidden="1"/>
    </xf>
    <xf numFmtId="14" fontId="8" fillId="4" borderId="21" xfId="0" applyNumberFormat="1" applyFont="1" applyFill="1" applyBorder="1" applyAlignment="1" applyProtection="1">
      <alignment horizontal="left" vertical="center" wrapText="1"/>
      <protection locked="0"/>
    </xf>
    <xf numFmtId="0" fontId="8" fillId="4" borderId="21" xfId="0" applyFont="1" applyFill="1" applyBorder="1" applyAlignment="1" applyProtection="1">
      <alignment horizontal="left" vertical="center" wrapText="1"/>
      <protection locked="0"/>
    </xf>
    <xf numFmtId="0" fontId="6" fillId="0" borderId="21" xfId="0" applyFont="1" applyBorder="1" applyAlignment="1" applyProtection="1">
      <alignment horizontal="left" vertical="center"/>
      <protection hidden="1"/>
    </xf>
    <xf numFmtId="0" fontId="43" fillId="0" borderId="18" xfId="0" applyFont="1" applyBorder="1" applyAlignment="1" applyProtection="1">
      <alignment horizontal="left" vertical="center" wrapText="1"/>
      <protection hidden="1"/>
    </xf>
    <xf numFmtId="0" fontId="43" fillId="0" borderId="0" xfId="0" applyFont="1" applyAlignment="1" applyProtection="1">
      <alignment vertical="center" wrapText="1"/>
      <protection hidden="1"/>
    </xf>
    <xf numFmtId="165" fontId="2" fillId="0" borderId="0" xfId="0" applyNumberFormat="1" applyFont="1" applyAlignment="1" applyProtection="1">
      <alignment horizontal="right" vertical="center" indent="1"/>
      <protection hidden="1"/>
    </xf>
    <xf numFmtId="165" fontId="2" fillId="0" borderId="0" xfId="0" applyNumberFormat="1" applyFont="1" applyAlignment="1" applyProtection="1">
      <alignment horizontal="right" indent="1"/>
      <protection hidden="1"/>
    </xf>
    <xf numFmtId="0" fontId="2" fillId="0" borderId="0" xfId="0" applyFont="1" applyAlignment="1" applyProtection="1">
      <alignment horizontal="center" vertical="center"/>
      <protection hidden="1"/>
    </xf>
    <xf numFmtId="0" fontId="6" fillId="0" borderId="21" xfId="0" applyFont="1" applyFill="1" applyBorder="1" applyAlignment="1" applyProtection="1">
      <alignment horizontal="center" vertical="center" wrapText="1"/>
      <protection hidden="1"/>
    </xf>
    <xf numFmtId="0" fontId="2" fillId="11" borderId="0" xfId="0" applyFont="1" applyFill="1" applyBorder="1" applyAlignment="1" applyProtection="1">
      <alignment vertical="center" wrapText="1"/>
      <protection hidden="1"/>
    </xf>
    <xf numFmtId="0" fontId="2" fillId="11" borderId="0" xfId="0" applyFont="1" applyFill="1" applyBorder="1" applyAlignment="1" applyProtection="1">
      <alignment horizontal="left" vertical="top" wrapText="1"/>
      <protection hidden="1"/>
    </xf>
    <xf numFmtId="0" fontId="40" fillId="11" borderId="0" xfId="0" applyFont="1" applyFill="1" applyBorder="1" applyAlignment="1" applyProtection="1">
      <alignment horizontal="left" vertical="center"/>
      <protection hidden="1"/>
    </xf>
    <xf numFmtId="0" fontId="3" fillId="3" borderId="0" xfId="0" applyFont="1" applyFill="1" applyBorder="1" applyAlignment="1" applyProtection="1">
      <alignment horizontal="center" vertical="center"/>
      <protection hidden="1"/>
    </xf>
    <xf numFmtId="0" fontId="8" fillId="9" borderId="4" xfId="0" applyFont="1" applyFill="1" applyBorder="1" applyAlignment="1" applyProtection="1">
      <alignment horizontal="left" vertical="center" wrapText="1" indent="1"/>
      <protection hidden="1"/>
    </xf>
    <xf numFmtId="0" fontId="8" fillId="9" borderId="5" xfId="0" applyFont="1" applyFill="1" applyBorder="1" applyAlignment="1" applyProtection="1">
      <alignment horizontal="left" vertical="center" wrapText="1" indent="1"/>
      <protection hidden="1"/>
    </xf>
    <xf numFmtId="0" fontId="8" fillId="9" borderId="6" xfId="0" applyFont="1" applyFill="1" applyBorder="1" applyAlignment="1" applyProtection="1">
      <alignment horizontal="left" vertical="center" wrapText="1" indent="1"/>
      <protection hidden="1"/>
    </xf>
    <xf numFmtId="0" fontId="8" fillId="9" borderId="7" xfId="0" applyFont="1" applyFill="1" applyBorder="1" applyAlignment="1" applyProtection="1">
      <alignment horizontal="left" vertical="center" wrapText="1" indent="3"/>
      <protection hidden="1"/>
    </xf>
    <xf numFmtId="0" fontId="8" fillId="9" borderId="0" xfId="0" applyFont="1" applyFill="1" applyBorder="1" applyAlignment="1" applyProtection="1">
      <alignment horizontal="left" vertical="center" wrapText="1" indent="3"/>
      <protection hidden="1"/>
    </xf>
    <xf numFmtId="0" fontId="8" fillId="9" borderId="8" xfId="0" applyFont="1" applyFill="1" applyBorder="1" applyAlignment="1" applyProtection="1">
      <alignment horizontal="left" vertical="center" wrapText="1" indent="3"/>
      <protection hidden="1"/>
    </xf>
    <xf numFmtId="0" fontId="8" fillId="9" borderId="9" xfId="0" applyFont="1" applyFill="1" applyBorder="1" applyAlignment="1" applyProtection="1">
      <alignment horizontal="left" vertical="center" wrapText="1" indent="1"/>
      <protection hidden="1"/>
    </xf>
    <xf numFmtId="0" fontId="8" fillId="9" borderId="10" xfId="0" applyFont="1" applyFill="1" applyBorder="1" applyAlignment="1" applyProtection="1">
      <alignment horizontal="left" vertical="center" wrapText="1" indent="1"/>
      <protection hidden="1"/>
    </xf>
    <xf numFmtId="0" fontId="8" fillId="9" borderId="11" xfId="0" applyFont="1" applyFill="1" applyBorder="1" applyAlignment="1" applyProtection="1">
      <alignment horizontal="left" vertical="center" wrapText="1" indent="1"/>
      <protection hidden="1"/>
    </xf>
    <xf numFmtId="0" fontId="2" fillId="0" borderId="0" xfId="0" applyFont="1" applyBorder="1" applyAlignment="1" applyProtection="1">
      <alignment vertical="center" wrapText="1"/>
      <protection hidden="1"/>
    </xf>
    <xf numFmtId="0" fontId="7" fillId="0" borderId="4" xfId="0" applyFont="1" applyBorder="1" applyProtection="1">
      <protection hidden="1"/>
    </xf>
    <xf numFmtId="0" fontId="7" fillId="0" borderId="5" xfId="0" applyFont="1" applyBorder="1" applyProtection="1">
      <protection hidden="1"/>
    </xf>
    <xf numFmtId="0" fontId="7" fillId="0" borderId="6" xfId="0" applyFont="1" applyBorder="1" applyProtection="1">
      <protection hidden="1"/>
    </xf>
    <xf numFmtId="0" fontId="6" fillId="0" borderId="9" xfId="0" applyFont="1" applyFill="1" applyBorder="1" applyAlignment="1" applyProtection="1">
      <alignment horizontal="left" vertical="top" wrapText="1"/>
      <protection locked="0" hidden="1"/>
    </xf>
    <xf numFmtId="0" fontId="6" fillId="0" borderId="10" xfId="0" applyFont="1" applyFill="1" applyBorder="1" applyAlignment="1" applyProtection="1">
      <alignment horizontal="left" vertical="top" wrapText="1"/>
      <protection locked="0" hidden="1"/>
    </xf>
    <xf numFmtId="0" fontId="6" fillId="0" borderId="11" xfId="0" applyFont="1" applyFill="1" applyBorder="1" applyAlignment="1" applyProtection="1">
      <alignment horizontal="left" vertical="top" wrapText="1"/>
      <protection locked="0" hidden="1"/>
    </xf>
    <xf numFmtId="0" fontId="8" fillId="0" borderId="0" xfId="0" applyFont="1" applyFill="1" applyBorder="1" applyAlignment="1" applyProtection="1">
      <alignment horizontal="left" vertical="center" indent="1"/>
      <protection hidden="1"/>
    </xf>
    <xf numFmtId="0" fontId="7" fillId="0" borderId="1" xfId="0" applyFont="1" applyBorder="1" applyAlignment="1" applyProtection="1">
      <alignment horizontal="left" vertical="center" indent="1"/>
      <protection hidden="1"/>
    </xf>
    <xf numFmtId="0" fontId="7" fillId="0" borderId="2" xfId="0" applyFont="1" applyBorder="1" applyAlignment="1" applyProtection="1">
      <alignment horizontal="left" vertical="center" indent="1"/>
      <protection hidden="1"/>
    </xf>
    <xf numFmtId="0" fontId="7" fillId="0" borderId="3" xfId="0" applyFont="1" applyBorder="1" applyAlignment="1" applyProtection="1">
      <alignment horizontal="left" vertical="center" indent="1"/>
      <protection hidden="1"/>
    </xf>
    <xf numFmtId="0" fontId="7" fillId="0" borderId="1" xfId="0" applyFont="1" applyFill="1" applyBorder="1" applyAlignment="1" applyProtection="1">
      <alignment horizontal="left" vertical="center" indent="1"/>
      <protection hidden="1"/>
    </xf>
    <xf numFmtId="0" fontId="7" fillId="0" borderId="2" xfId="0" applyFont="1" applyFill="1" applyBorder="1" applyAlignment="1" applyProtection="1">
      <alignment horizontal="left" vertical="center" indent="1"/>
      <protection hidden="1"/>
    </xf>
    <xf numFmtId="0" fontId="7" fillId="0" borderId="3" xfId="0" applyFont="1" applyFill="1" applyBorder="1" applyAlignment="1" applyProtection="1">
      <alignment horizontal="left" vertical="center" indent="1"/>
      <protection hidden="1"/>
    </xf>
    <xf numFmtId="0" fontId="2" fillId="4" borderId="1" xfId="0" applyFont="1" applyFill="1" applyBorder="1" applyAlignment="1" applyProtection="1">
      <alignment horizontal="left" vertical="center" wrapText="1"/>
      <protection locked="0" hidden="1"/>
    </xf>
    <xf numFmtId="0" fontId="2" fillId="4" borderId="2" xfId="0" applyFont="1" applyFill="1" applyBorder="1" applyAlignment="1" applyProtection="1">
      <alignment horizontal="left" vertical="center" wrapText="1"/>
      <protection locked="0" hidden="1"/>
    </xf>
    <xf numFmtId="0" fontId="2" fillId="4" borderId="3" xfId="0" applyFont="1" applyFill="1" applyBorder="1" applyAlignment="1" applyProtection="1">
      <alignment horizontal="left" vertical="center" wrapText="1"/>
      <protection locked="0" hidden="1"/>
    </xf>
    <xf numFmtId="0" fontId="6" fillId="0" borderId="1" xfId="0" applyFont="1" applyBorder="1" applyAlignment="1" applyProtection="1">
      <alignment horizontal="left" vertical="center" wrapText="1"/>
      <protection hidden="1"/>
    </xf>
    <xf numFmtId="0" fontId="6" fillId="0" borderId="2" xfId="0" applyFont="1" applyBorder="1" applyAlignment="1" applyProtection="1">
      <alignment horizontal="left" vertical="center" wrapText="1"/>
      <protection hidden="1"/>
    </xf>
    <xf numFmtId="0" fontId="6" fillId="0" borderId="3" xfId="0" applyFont="1" applyBorder="1" applyAlignment="1" applyProtection="1">
      <alignment horizontal="left" vertical="center" wrapText="1"/>
      <protection hidden="1"/>
    </xf>
    <xf numFmtId="0" fontId="10" fillId="3" borderId="0" xfId="0" applyFont="1" applyFill="1" applyAlignment="1" applyProtection="1">
      <alignment vertical="center"/>
      <protection hidden="1"/>
    </xf>
    <xf numFmtId="0" fontId="6" fillId="0" borderId="1" xfId="0" applyFont="1" applyBorder="1" applyAlignment="1" applyProtection="1">
      <alignment vertical="center" wrapText="1"/>
      <protection hidden="1"/>
    </xf>
    <xf numFmtId="0" fontId="6" fillId="0" borderId="2" xfId="0" applyFont="1" applyBorder="1" applyAlignment="1" applyProtection="1">
      <alignment vertical="center" wrapText="1"/>
      <protection hidden="1"/>
    </xf>
    <xf numFmtId="0" fontId="6" fillId="0" borderId="3" xfId="0" applyFont="1" applyBorder="1" applyAlignment="1" applyProtection="1">
      <alignment vertical="center" wrapText="1"/>
      <protection hidden="1"/>
    </xf>
    <xf numFmtId="0" fontId="3" fillId="3" borderId="0" xfId="0" applyFont="1" applyFill="1" applyAlignment="1" applyProtection="1">
      <alignment horizontal="center" vertical="center"/>
      <protection hidden="1"/>
    </xf>
    <xf numFmtId="0" fontId="6" fillId="9" borderId="4" xfId="2" applyFont="1" applyFill="1" applyBorder="1" applyAlignment="1" applyProtection="1">
      <alignment horizontal="left" vertical="center" wrapText="1" indent="1"/>
      <protection hidden="1"/>
    </xf>
    <xf numFmtId="0" fontId="6" fillId="9" borderId="5" xfId="2" applyFont="1" applyFill="1" applyBorder="1" applyAlignment="1" applyProtection="1">
      <alignment horizontal="left" vertical="center" wrapText="1" indent="1"/>
      <protection hidden="1"/>
    </xf>
    <xf numFmtId="0" fontId="6" fillId="9" borderId="6" xfId="2" applyFont="1" applyFill="1" applyBorder="1" applyAlignment="1" applyProtection="1">
      <alignment horizontal="left" vertical="center" wrapText="1" indent="1"/>
      <protection hidden="1"/>
    </xf>
    <xf numFmtId="0" fontId="6" fillId="9" borderId="7" xfId="2" applyFont="1" applyFill="1" applyBorder="1" applyAlignment="1" applyProtection="1">
      <alignment horizontal="left" vertical="center" wrapText="1" indent="1"/>
      <protection hidden="1"/>
    </xf>
    <xf numFmtId="0" fontId="6" fillId="9" borderId="0" xfId="2" applyFont="1" applyFill="1" applyBorder="1" applyAlignment="1" applyProtection="1">
      <alignment horizontal="left" vertical="center" wrapText="1" indent="1"/>
      <protection hidden="1"/>
    </xf>
    <xf numFmtId="0" fontId="6" fillId="9" borderId="8" xfId="2" applyFont="1" applyFill="1" applyBorder="1" applyAlignment="1" applyProtection="1">
      <alignment horizontal="left" vertical="center" wrapText="1" indent="1"/>
      <protection hidden="1"/>
    </xf>
    <xf numFmtId="0" fontId="6" fillId="9" borderId="9" xfId="2" applyFont="1" applyFill="1" applyBorder="1" applyAlignment="1" applyProtection="1">
      <alignment horizontal="left" vertical="center" wrapText="1" indent="1"/>
      <protection hidden="1"/>
    </xf>
    <xf numFmtId="0" fontId="6" fillId="9" borderId="10" xfId="2" applyFont="1" applyFill="1" applyBorder="1" applyAlignment="1" applyProtection="1">
      <alignment horizontal="left" vertical="center" wrapText="1" indent="1"/>
      <protection hidden="1"/>
    </xf>
    <xf numFmtId="0" fontId="6" fillId="9" borderId="11" xfId="2" applyFont="1" applyFill="1" applyBorder="1" applyAlignment="1" applyProtection="1">
      <alignment horizontal="left" vertical="center" wrapText="1" indent="1"/>
      <protection hidden="1"/>
    </xf>
    <xf numFmtId="0" fontId="5" fillId="0" borderId="4" xfId="0" applyFont="1" applyBorder="1" applyAlignment="1" applyProtection="1">
      <alignment horizontal="left" vertical="center" indent="1"/>
      <protection hidden="1"/>
    </xf>
    <xf numFmtId="0" fontId="5" fillId="0" borderId="5" xfId="0" applyFont="1" applyBorder="1" applyAlignment="1" applyProtection="1">
      <alignment horizontal="left" vertical="center" indent="1"/>
      <protection hidden="1"/>
    </xf>
    <xf numFmtId="0" fontId="5" fillId="0" borderId="6" xfId="0" applyFont="1" applyBorder="1" applyAlignment="1" applyProtection="1">
      <alignment horizontal="left" vertical="center" indent="1"/>
      <protection hidden="1"/>
    </xf>
    <xf numFmtId="0" fontId="5" fillId="0" borderId="9" xfId="0" applyFont="1" applyBorder="1" applyAlignment="1" applyProtection="1">
      <alignment horizontal="left" vertical="center" indent="1"/>
      <protection hidden="1"/>
    </xf>
    <xf numFmtId="0" fontId="5" fillId="0" borderId="10" xfId="0" applyFont="1" applyBorder="1" applyAlignment="1" applyProtection="1">
      <alignment horizontal="left" vertical="center" indent="1"/>
      <protection hidden="1"/>
    </xf>
    <xf numFmtId="0" fontId="5" fillId="0" borderId="11" xfId="0" applyFont="1" applyBorder="1" applyAlignment="1" applyProtection="1">
      <alignment horizontal="left" vertical="center" indent="1"/>
      <protection hidden="1"/>
    </xf>
    <xf numFmtId="0" fontId="5" fillId="4" borderId="21" xfId="0" applyFont="1" applyFill="1" applyBorder="1" applyAlignment="1" applyProtection="1">
      <alignment horizontal="left" vertical="center" indent="1"/>
      <protection locked="0"/>
    </xf>
    <xf numFmtId="0" fontId="2" fillId="0" borderId="0" xfId="0" applyFont="1" applyAlignment="1" applyProtection="1">
      <alignment vertical="center" wrapText="1"/>
      <protection hidden="1"/>
    </xf>
    <xf numFmtId="0" fontId="8" fillId="9" borderId="7" xfId="0" applyFont="1" applyFill="1" applyBorder="1" applyAlignment="1" applyProtection="1">
      <alignment horizontal="left" vertical="center" wrapText="1" indent="1"/>
      <protection hidden="1"/>
    </xf>
    <xf numFmtId="0" fontId="8" fillId="9" borderId="8" xfId="0" applyFont="1" applyFill="1" applyBorder="1" applyAlignment="1" applyProtection="1">
      <alignment horizontal="left" vertical="center" wrapText="1" indent="1"/>
      <protection hidden="1"/>
    </xf>
    <xf numFmtId="0" fontId="3" fillId="3" borderId="0" xfId="0" applyFont="1" applyFill="1" applyBorder="1" applyAlignment="1" applyProtection="1">
      <alignment horizontal="left" vertical="center" indent="1"/>
      <protection hidden="1"/>
    </xf>
    <xf numFmtId="0" fontId="38" fillId="4" borderId="22" xfId="0" applyFont="1" applyFill="1" applyBorder="1" applyAlignment="1" applyProtection="1">
      <alignment horizontal="center" vertical="center"/>
      <protection locked="0" hidden="1"/>
    </xf>
    <xf numFmtId="0" fontId="38" fillId="4" borderId="26" xfId="0" applyFont="1" applyFill="1" applyBorder="1" applyAlignment="1" applyProtection="1">
      <alignment horizontal="center" vertical="center"/>
      <protection locked="0" hidden="1"/>
    </xf>
    <xf numFmtId="0" fontId="38" fillId="4" borderId="23" xfId="0" applyFont="1" applyFill="1" applyBorder="1" applyAlignment="1" applyProtection="1">
      <alignment horizontal="center" vertical="center"/>
      <protection locked="0" hidden="1"/>
    </xf>
    <xf numFmtId="0" fontId="7" fillId="0" borderId="1" xfId="0" applyFont="1" applyBorder="1" applyAlignment="1" applyProtection="1">
      <alignment vertical="center"/>
      <protection hidden="1"/>
    </xf>
    <xf numFmtId="0" fontId="7" fillId="0" borderId="3" xfId="0" applyFont="1" applyBorder="1" applyAlignment="1" applyProtection="1">
      <alignment vertical="center"/>
      <protection hidden="1"/>
    </xf>
    <xf numFmtId="0" fontId="7" fillId="9" borderId="4" xfId="0" applyFont="1" applyFill="1" applyBorder="1" applyAlignment="1" applyProtection="1">
      <alignment horizontal="left" vertical="top" wrapText="1" indent="1"/>
      <protection hidden="1"/>
    </xf>
    <xf numFmtId="0" fontId="7" fillId="9" borderId="6" xfId="0" applyFont="1" applyFill="1" applyBorder="1" applyAlignment="1" applyProtection="1">
      <alignment horizontal="left" vertical="top" wrapText="1" indent="1"/>
      <protection hidden="1"/>
    </xf>
    <xf numFmtId="0" fontId="7" fillId="9" borderId="7" xfId="0" applyFont="1" applyFill="1" applyBorder="1" applyAlignment="1" applyProtection="1">
      <alignment horizontal="left" vertical="top" wrapText="1" indent="1"/>
      <protection hidden="1"/>
    </xf>
    <xf numFmtId="0" fontId="7" fillId="9" borderId="8" xfId="0" applyFont="1" applyFill="1" applyBorder="1" applyAlignment="1" applyProtection="1">
      <alignment horizontal="left" vertical="top" wrapText="1" indent="1"/>
      <protection hidden="1"/>
    </xf>
    <xf numFmtId="0" fontId="10" fillId="3" borderId="0" xfId="0" applyFont="1" applyFill="1" applyBorder="1" applyAlignment="1" applyProtection="1">
      <alignment vertical="center"/>
      <protection hidden="1"/>
    </xf>
    <xf numFmtId="0" fontId="8" fillId="0" borderId="4" xfId="0" applyFont="1" applyBorder="1" applyAlignment="1" applyProtection="1">
      <alignment horizontal="left" vertical="top" wrapText="1"/>
      <protection locked="0" hidden="1"/>
    </xf>
    <xf numFmtId="0" fontId="8" fillId="0" borderId="5" xfId="0" applyFont="1" applyBorder="1" applyAlignment="1" applyProtection="1">
      <alignment horizontal="left" vertical="top" wrapText="1"/>
      <protection locked="0" hidden="1"/>
    </xf>
    <xf numFmtId="0" fontId="8" fillId="0" borderId="6" xfId="0" applyFont="1" applyBorder="1" applyAlignment="1" applyProtection="1">
      <alignment horizontal="left" vertical="top" wrapText="1"/>
      <protection locked="0" hidden="1"/>
    </xf>
    <xf numFmtId="0" fontId="8" fillId="0" borderId="7" xfId="0" applyFont="1" applyBorder="1" applyAlignment="1" applyProtection="1">
      <alignment horizontal="left" vertical="top" wrapText="1"/>
      <protection locked="0" hidden="1"/>
    </xf>
    <xf numFmtId="0" fontId="8" fillId="0" borderId="0" xfId="0" applyFont="1" applyBorder="1" applyAlignment="1" applyProtection="1">
      <alignment horizontal="left" vertical="top" wrapText="1"/>
      <protection locked="0" hidden="1"/>
    </xf>
    <xf numFmtId="0" fontId="8" fillId="0" borderId="8" xfId="0" applyFont="1" applyBorder="1" applyAlignment="1" applyProtection="1">
      <alignment horizontal="left" vertical="top" wrapText="1"/>
      <protection locked="0" hidden="1"/>
    </xf>
    <xf numFmtId="0" fontId="8" fillId="0" borderId="9" xfId="0" applyFont="1" applyBorder="1" applyAlignment="1" applyProtection="1">
      <alignment horizontal="left" vertical="top" wrapText="1"/>
      <protection locked="0" hidden="1"/>
    </xf>
    <xf numFmtId="0" fontId="8" fillId="0" borderId="10" xfId="0" applyFont="1" applyBorder="1" applyAlignment="1" applyProtection="1">
      <alignment horizontal="left" vertical="top" wrapText="1"/>
      <protection locked="0" hidden="1"/>
    </xf>
    <xf numFmtId="0" fontId="8" fillId="0" borderId="11" xfId="0" applyFont="1" applyBorder="1" applyAlignment="1" applyProtection="1">
      <alignment horizontal="left" vertical="top" wrapText="1"/>
      <protection locked="0" hidden="1"/>
    </xf>
    <xf numFmtId="0" fontId="37" fillId="0" borderId="0" xfId="0" applyFont="1" applyAlignment="1" applyProtection="1">
      <alignment horizontal="left" vertical="center" wrapText="1"/>
      <protection hidden="1"/>
    </xf>
    <xf numFmtId="0" fontId="10" fillId="3" borderId="0" xfId="0" applyFont="1" applyFill="1" applyBorder="1" applyAlignment="1" applyProtection="1">
      <alignment horizontal="left" vertical="center"/>
      <protection hidden="1"/>
    </xf>
    <xf numFmtId="0" fontId="7" fillId="0" borderId="0" xfId="0" applyFont="1" applyBorder="1" applyAlignment="1" applyProtection="1">
      <alignment horizontal="center" vertical="center" wrapText="1"/>
      <protection hidden="1"/>
    </xf>
    <xf numFmtId="0" fontId="7" fillId="0" borderId="0" xfId="0" applyFont="1" applyBorder="1" applyAlignment="1" applyProtection="1">
      <alignment horizontal="center" wrapText="1"/>
      <protection hidden="1"/>
    </xf>
    <xf numFmtId="0" fontId="8" fillId="9" borderId="7" xfId="0" applyFont="1" applyFill="1" applyBorder="1" applyAlignment="1" applyProtection="1">
      <alignment horizontal="left" vertical="top" wrapText="1" indent="1"/>
      <protection hidden="1"/>
    </xf>
    <xf numFmtId="0" fontId="8" fillId="9" borderId="8" xfId="0" applyFont="1" applyFill="1" applyBorder="1" applyAlignment="1" applyProtection="1">
      <alignment horizontal="left" vertical="top" wrapText="1" indent="1"/>
      <protection hidden="1"/>
    </xf>
    <xf numFmtId="0" fontId="8" fillId="0" borderId="0" xfId="0" applyFont="1" applyAlignment="1" applyProtection="1">
      <alignment horizontal="left" vertical="top" wrapText="1"/>
      <protection hidden="1"/>
    </xf>
    <xf numFmtId="0" fontId="2" fillId="0" borderId="0" xfId="0" applyFont="1" applyBorder="1" applyAlignment="1" applyProtection="1">
      <alignment wrapText="1"/>
      <protection hidden="1"/>
    </xf>
    <xf numFmtId="0" fontId="7" fillId="0" borderId="1" xfId="0" applyFont="1" applyBorder="1" applyAlignment="1" applyProtection="1">
      <alignment vertical="center" wrapText="1"/>
      <protection hidden="1"/>
    </xf>
    <xf numFmtId="0" fontId="7" fillId="0" borderId="3" xfId="0" applyFont="1" applyBorder="1" applyAlignment="1" applyProtection="1">
      <alignment vertical="center" wrapText="1"/>
      <protection hidden="1"/>
    </xf>
    <xf numFmtId="0" fontId="35" fillId="0" borderId="0" xfId="0" applyFont="1" applyFill="1" applyProtection="1">
      <protection hidden="1"/>
    </xf>
    <xf numFmtId="0" fontId="19" fillId="0" borderId="0" xfId="0" applyFont="1" applyBorder="1" applyAlignment="1" applyProtection="1">
      <alignment vertical="top"/>
      <protection hidden="1"/>
    </xf>
    <xf numFmtId="0" fontId="8" fillId="9" borderId="7" xfId="2" applyFont="1" applyFill="1" applyBorder="1" applyAlignment="1" applyProtection="1">
      <alignment horizontal="left" wrapText="1" indent="1"/>
      <protection hidden="1"/>
    </xf>
    <xf numFmtId="0" fontId="8" fillId="9" borderId="8" xfId="2" applyFont="1" applyFill="1" applyBorder="1" applyAlignment="1" applyProtection="1">
      <alignment horizontal="left" wrapText="1" indent="1"/>
      <protection hidden="1"/>
    </xf>
    <xf numFmtId="0" fontId="3" fillId="3" borderId="0" xfId="0" applyFont="1" applyFill="1" applyBorder="1" applyAlignment="1" applyProtection="1">
      <alignment horizontal="left" vertical="center" indent="2"/>
      <protection hidden="1"/>
    </xf>
    <xf numFmtId="0" fontId="8" fillId="9" borderId="4" xfId="0" applyFont="1" applyFill="1" applyBorder="1" applyAlignment="1" applyProtection="1">
      <alignment horizontal="left" vertical="top" wrapText="1" indent="1"/>
      <protection hidden="1"/>
    </xf>
    <xf numFmtId="0" fontId="8" fillId="9" borderId="6" xfId="0" applyFont="1" applyFill="1" applyBorder="1" applyAlignment="1" applyProtection="1">
      <alignment horizontal="left" vertical="top" wrapText="1" indent="1"/>
      <protection hidden="1"/>
    </xf>
    <xf numFmtId="0" fontId="8" fillId="9" borderId="9" xfId="0" applyFont="1" applyFill="1" applyBorder="1" applyAlignment="1" applyProtection="1">
      <alignment horizontal="left" vertical="top" wrapText="1" indent="1"/>
      <protection hidden="1"/>
    </xf>
    <xf numFmtId="0" fontId="8" fillId="9" borderId="11" xfId="0" applyFont="1" applyFill="1" applyBorder="1" applyAlignment="1" applyProtection="1">
      <alignment horizontal="left" vertical="top" wrapText="1" indent="1"/>
      <protection hidden="1"/>
    </xf>
    <xf numFmtId="49" fontId="7" fillId="0" borderId="22" xfId="0" applyNumberFormat="1" applyFont="1" applyFill="1" applyBorder="1" applyAlignment="1" applyProtection="1">
      <alignment horizontal="center" vertical="center" wrapText="1"/>
      <protection locked="0" hidden="1"/>
    </xf>
    <xf numFmtId="49" fontId="7" fillId="0" borderId="23" xfId="0" applyNumberFormat="1" applyFont="1" applyFill="1" applyBorder="1" applyAlignment="1" applyProtection="1">
      <alignment horizontal="center" vertical="center" wrapText="1"/>
      <protection locked="0" hidden="1"/>
    </xf>
    <xf numFmtId="0" fontId="8" fillId="0" borderId="1" xfId="0" applyFont="1" applyBorder="1" applyAlignment="1" applyProtection="1">
      <alignment horizontal="left" vertical="center" indent="1"/>
      <protection hidden="1"/>
    </xf>
    <xf numFmtId="0" fontId="8" fillId="0" borderId="3" xfId="0" applyFont="1" applyBorder="1" applyAlignment="1" applyProtection="1">
      <alignment horizontal="left" vertical="center" indent="1"/>
      <protection hidden="1"/>
    </xf>
    <xf numFmtId="0" fontId="14" fillId="0" borderId="10" xfId="0" applyFont="1" applyBorder="1" applyAlignment="1" applyProtection="1">
      <alignment vertical="center"/>
      <protection hidden="1"/>
    </xf>
    <xf numFmtId="0" fontId="8" fillId="0" borderId="4" xfId="0" applyFont="1" applyBorder="1" applyAlignment="1" applyProtection="1">
      <alignment horizontal="left" vertical="center" indent="1"/>
      <protection hidden="1"/>
    </xf>
    <xf numFmtId="0" fontId="8" fillId="0" borderId="6" xfId="0" applyFont="1" applyBorder="1" applyAlignment="1" applyProtection="1">
      <alignment horizontal="left" vertical="center" indent="1"/>
      <protection hidden="1"/>
    </xf>
    <xf numFmtId="0" fontId="8" fillId="5" borderId="1" xfId="0" applyFont="1" applyFill="1" applyBorder="1" applyAlignment="1" applyProtection="1">
      <alignment horizontal="center"/>
      <protection hidden="1"/>
    </xf>
    <xf numFmtId="0" fontId="8" fillId="5" borderId="3" xfId="0" applyFont="1" applyFill="1" applyBorder="1" applyAlignment="1" applyProtection="1">
      <alignment horizontal="center"/>
      <protection hidden="1"/>
    </xf>
    <xf numFmtId="0" fontId="8" fillId="7" borderId="1" xfId="0" applyFont="1" applyFill="1" applyBorder="1" applyAlignment="1" applyProtection="1">
      <alignment horizontal="center"/>
      <protection hidden="1"/>
    </xf>
    <xf numFmtId="0" fontId="8" fillId="7" borderId="2" xfId="0" applyFont="1" applyFill="1" applyBorder="1" applyAlignment="1" applyProtection="1">
      <alignment horizontal="center"/>
      <protection hidden="1"/>
    </xf>
    <xf numFmtId="0" fontId="8" fillId="7" borderId="3" xfId="0" applyFont="1" applyFill="1" applyBorder="1" applyAlignment="1" applyProtection="1">
      <alignment horizontal="center"/>
      <protection hidden="1"/>
    </xf>
    <xf numFmtId="0" fontId="8" fillId="6" borderId="1" xfId="0" applyFont="1" applyFill="1" applyBorder="1" applyAlignment="1" applyProtection="1">
      <alignment horizontal="center"/>
      <protection hidden="1"/>
    </xf>
    <xf numFmtId="0" fontId="8" fillId="6" borderId="2" xfId="0" applyFont="1" applyFill="1" applyBorder="1" applyAlignment="1" applyProtection="1">
      <alignment horizontal="center"/>
      <protection hidden="1"/>
    </xf>
    <xf numFmtId="0" fontId="8" fillId="6" borderId="3" xfId="0" applyFont="1" applyFill="1" applyBorder="1" applyAlignment="1" applyProtection="1">
      <alignment horizontal="center"/>
      <protection hidden="1"/>
    </xf>
    <xf numFmtId="0" fontId="8" fillId="8" borderId="1" xfId="0" applyFont="1" applyFill="1" applyBorder="1" applyAlignment="1" applyProtection="1">
      <alignment horizontal="center"/>
      <protection hidden="1"/>
    </xf>
    <xf numFmtId="0" fontId="8" fillId="8" borderId="2" xfId="0" applyFont="1" applyFill="1" applyBorder="1" applyAlignment="1" applyProtection="1">
      <alignment horizontal="center"/>
      <protection hidden="1"/>
    </xf>
    <xf numFmtId="0" fontId="8" fillId="8" borderId="3" xfId="0" applyFont="1" applyFill="1" applyBorder="1" applyAlignment="1" applyProtection="1">
      <alignment horizontal="center"/>
      <protection hidden="1"/>
    </xf>
    <xf numFmtId="0" fontId="8" fillId="0" borderId="22" xfId="0" applyFont="1" applyBorder="1" applyAlignment="1" applyProtection="1">
      <alignment horizontal="left" vertical="center" indent="1"/>
      <protection hidden="1"/>
    </xf>
    <xf numFmtId="0" fontId="8" fillId="0" borderId="23" xfId="0" applyFont="1" applyBorder="1" applyAlignment="1" applyProtection="1">
      <alignment horizontal="left" vertical="center" indent="1"/>
      <protection hidden="1"/>
    </xf>
    <xf numFmtId="0" fontId="8" fillId="9" borderId="0" xfId="0" applyFont="1" applyFill="1" applyBorder="1" applyAlignment="1" applyProtection="1">
      <alignment horizontal="left" vertical="center" wrapText="1" indent="1"/>
      <protection hidden="1"/>
    </xf>
    <xf numFmtId="0" fontId="8" fillId="2" borderId="0" xfId="0" applyFont="1" applyFill="1" applyAlignment="1">
      <alignment vertical="center" wrapText="1"/>
    </xf>
    <xf numFmtId="0" fontId="4" fillId="2" borderId="28" xfId="0" applyFont="1" applyFill="1" applyBorder="1" applyAlignment="1">
      <alignment horizontal="center" vertical="center"/>
    </xf>
    <xf numFmtId="0" fontId="4" fillId="2" borderId="29" xfId="0" applyFont="1" applyFill="1" applyBorder="1" applyAlignment="1">
      <alignment horizontal="center" vertical="center"/>
    </xf>
    <xf numFmtId="0" fontId="4" fillId="2" borderId="30" xfId="0" applyFont="1" applyFill="1" applyBorder="1" applyAlignment="1">
      <alignment horizontal="center" vertical="center"/>
    </xf>
  </cellXfs>
  <cellStyles count="3">
    <cellStyle name="Hyperlink" xfId="2" builtinId="8"/>
    <cellStyle name="Normal" xfId="0" builtinId="0"/>
    <cellStyle name="Percent" xfId="1" builtinId="5"/>
  </cellStyles>
  <dxfs count="126">
    <dxf>
      <fill>
        <patternFill>
          <bgColor rgb="FFED878E"/>
        </patternFill>
      </fill>
    </dxf>
    <dxf>
      <fill>
        <patternFill>
          <bgColor rgb="FFFFD961"/>
        </patternFill>
      </fill>
    </dxf>
    <dxf>
      <fill>
        <patternFill>
          <bgColor rgb="FFC0DDAD"/>
        </patternFill>
      </fill>
    </dxf>
    <dxf>
      <fill>
        <patternFill>
          <bgColor rgb="FF73B04A"/>
        </patternFill>
      </fill>
    </dxf>
    <dxf>
      <fill>
        <patternFill patternType="none">
          <bgColor auto="1"/>
        </patternFill>
      </fill>
      <border>
        <left/>
        <right/>
        <bottom/>
        <vertical/>
        <horizontal/>
      </border>
    </dxf>
    <dxf>
      <fill>
        <patternFill>
          <bgColor rgb="FFED878E"/>
        </patternFill>
      </fill>
    </dxf>
    <dxf>
      <fill>
        <patternFill>
          <bgColor rgb="FFFFD961"/>
        </patternFill>
      </fill>
    </dxf>
    <dxf>
      <fill>
        <patternFill>
          <bgColor rgb="FFC0DDAD"/>
        </patternFill>
      </fill>
    </dxf>
    <dxf>
      <fill>
        <patternFill>
          <bgColor rgb="FFFFD961"/>
        </patternFill>
      </fill>
    </dxf>
    <dxf>
      <fill>
        <patternFill>
          <bgColor rgb="FFED878E"/>
        </patternFill>
      </fill>
    </dxf>
    <dxf>
      <fill>
        <patternFill>
          <bgColor rgb="FFC0DDAD"/>
        </patternFill>
      </fill>
    </dxf>
    <dxf>
      <fill>
        <patternFill patternType="none">
          <bgColor auto="1"/>
        </patternFill>
      </fill>
      <border>
        <left/>
        <right/>
        <vertical/>
        <horizontal/>
      </border>
    </dxf>
    <dxf>
      <fill>
        <patternFill>
          <bgColor rgb="FFED878E"/>
        </patternFill>
      </fill>
    </dxf>
    <dxf>
      <fill>
        <patternFill>
          <bgColor rgb="FFFFD961"/>
        </patternFill>
      </fill>
    </dxf>
    <dxf>
      <fill>
        <patternFill>
          <bgColor rgb="FFC0DDAD"/>
        </patternFill>
      </fill>
    </dxf>
    <dxf>
      <fill>
        <patternFill>
          <bgColor rgb="FF73B04A"/>
        </patternFill>
      </fill>
    </dxf>
    <dxf>
      <fill>
        <patternFill>
          <bgColor rgb="FFED878E"/>
        </patternFill>
      </fill>
    </dxf>
    <dxf>
      <fill>
        <patternFill>
          <bgColor rgb="FFFFD961"/>
        </patternFill>
      </fill>
    </dxf>
    <dxf>
      <fill>
        <patternFill>
          <bgColor rgb="FFC0DDAD"/>
        </patternFill>
      </fill>
    </dxf>
    <dxf>
      <border>
        <left/>
        <right/>
        <top/>
        <bottom/>
        <vertical/>
        <horizontal/>
      </border>
    </dxf>
    <dxf>
      <border>
        <left/>
        <right/>
        <top/>
        <bottom/>
        <vertical/>
        <horizontal/>
      </border>
    </dxf>
    <dxf>
      <border>
        <left/>
        <right/>
        <top/>
        <bottom/>
        <vertical/>
        <horizontal/>
      </border>
    </dxf>
    <dxf>
      <border>
        <left/>
        <right/>
        <top/>
        <bottom/>
        <vertical/>
        <horizontal/>
      </border>
    </dxf>
    <dxf>
      <fill>
        <patternFill>
          <bgColor rgb="FFFFD961"/>
        </patternFill>
      </fill>
    </dxf>
    <dxf>
      <fill>
        <patternFill>
          <bgColor rgb="FFED878E"/>
        </patternFill>
      </fill>
    </dxf>
    <dxf>
      <fill>
        <patternFill>
          <bgColor rgb="FFC0DDAD"/>
        </patternFill>
      </fill>
    </dxf>
    <dxf>
      <fill>
        <patternFill>
          <bgColor rgb="FF73B04A"/>
        </patternFill>
      </fill>
    </dxf>
    <dxf>
      <fill>
        <patternFill patternType="none">
          <bgColor auto="1"/>
        </patternFill>
      </fill>
      <border>
        <left/>
        <right/>
        <top/>
        <bottom/>
        <vertical/>
        <horizontal/>
      </border>
    </dxf>
    <dxf>
      <fill>
        <patternFill>
          <bgColor rgb="FFFFD961"/>
        </patternFill>
      </fill>
    </dxf>
    <dxf>
      <fill>
        <patternFill>
          <bgColor rgb="FFED878E"/>
        </patternFill>
      </fill>
    </dxf>
    <dxf>
      <fill>
        <patternFill>
          <bgColor rgb="FFC0DDAD"/>
        </patternFill>
      </fill>
    </dxf>
    <dxf>
      <fill>
        <patternFill>
          <bgColor rgb="FF73B04A"/>
        </patternFill>
      </fill>
    </dxf>
    <dxf>
      <fill>
        <patternFill patternType="none">
          <bgColor auto="1"/>
        </patternFill>
      </fill>
      <border>
        <left/>
        <right/>
        <top/>
        <bottom/>
        <vertical/>
        <horizontal/>
      </border>
    </dxf>
    <dxf>
      <fill>
        <patternFill>
          <bgColor rgb="FFFFD961"/>
        </patternFill>
      </fill>
    </dxf>
    <dxf>
      <fill>
        <patternFill>
          <bgColor rgb="FFED878E"/>
        </patternFill>
      </fill>
    </dxf>
    <dxf>
      <fill>
        <patternFill>
          <bgColor rgb="FFC0DDAD"/>
        </patternFill>
      </fill>
    </dxf>
    <dxf>
      <fill>
        <patternFill>
          <bgColor rgb="FF73B04A"/>
        </patternFill>
      </fill>
    </dxf>
    <dxf>
      <fill>
        <patternFill patternType="none">
          <bgColor auto="1"/>
        </patternFill>
      </fill>
      <border>
        <left/>
        <right/>
        <bottom/>
        <vertical/>
        <horizontal/>
      </border>
    </dxf>
    <dxf>
      <fill>
        <patternFill patternType="none">
          <bgColor auto="1"/>
        </patternFill>
      </fill>
      <border>
        <left/>
        <right/>
        <top/>
        <bottom/>
        <vertical/>
        <horizontal/>
      </border>
    </dxf>
    <dxf>
      <fill>
        <patternFill>
          <bgColor rgb="FFFFD961"/>
        </patternFill>
      </fill>
    </dxf>
    <dxf>
      <fill>
        <patternFill>
          <bgColor rgb="FFED878E"/>
        </patternFill>
      </fill>
    </dxf>
    <dxf>
      <fill>
        <patternFill>
          <bgColor rgb="FFC0DDAD"/>
        </patternFill>
      </fill>
    </dxf>
    <dxf>
      <fill>
        <patternFill>
          <bgColor rgb="FF73B04A"/>
        </patternFill>
      </fill>
    </dxf>
    <dxf>
      <fill>
        <patternFill patternType="none">
          <bgColor auto="1"/>
        </patternFill>
      </fill>
      <border>
        <left/>
        <right/>
        <vertical/>
        <horizontal/>
      </border>
    </dxf>
    <dxf>
      <border>
        <left/>
        <right/>
        <bottom/>
        <vertical/>
        <horizontal/>
      </border>
    </dxf>
    <dxf>
      <fill>
        <patternFill>
          <bgColor rgb="FFED878E"/>
        </patternFill>
      </fill>
    </dxf>
    <dxf>
      <fill>
        <patternFill>
          <bgColor rgb="FFFFD961"/>
        </patternFill>
      </fill>
    </dxf>
    <dxf>
      <fill>
        <patternFill>
          <bgColor rgb="FFC0DDAD"/>
        </patternFill>
      </fill>
    </dxf>
    <dxf>
      <fill>
        <patternFill>
          <bgColor rgb="FF73B04A"/>
        </patternFill>
      </fill>
    </dxf>
    <dxf>
      <fill>
        <patternFill>
          <bgColor rgb="FFED878E"/>
        </patternFill>
      </fill>
    </dxf>
    <dxf>
      <fill>
        <patternFill>
          <bgColor rgb="FFFFD961"/>
        </patternFill>
      </fill>
    </dxf>
    <dxf>
      <fill>
        <patternFill>
          <bgColor rgb="FFC0DDAD"/>
        </patternFill>
      </fill>
    </dxf>
    <dxf>
      <fill>
        <patternFill>
          <bgColor rgb="FFFFD961"/>
        </patternFill>
      </fill>
    </dxf>
    <dxf>
      <fill>
        <patternFill>
          <bgColor rgb="FFED878E"/>
        </patternFill>
      </fill>
    </dxf>
    <dxf>
      <fill>
        <patternFill>
          <bgColor rgb="FFC0DDAD"/>
        </patternFill>
      </fill>
    </dxf>
    <dxf>
      <fill>
        <patternFill patternType="none">
          <bgColor auto="1"/>
        </patternFill>
      </fill>
      <border>
        <left/>
        <right/>
        <vertical/>
        <horizontal/>
      </border>
    </dxf>
    <dxf>
      <fill>
        <patternFill>
          <bgColor rgb="FFED878E"/>
        </patternFill>
      </fill>
    </dxf>
    <dxf>
      <fill>
        <patternFill>
          <bgColor rgb="FFFFD961"/>
        </patternFill>
      </fill>
    </dxf>
    <dxf>
      <fill>
        <patternFill>
          <bgColor rgb="FFC0DDAD"/>
        </patternFill>
      </fill>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bottom/>
        <vertical/>
        <horizontal/>
      </border>
    </dxf>
    <dxf>
      <fill>
        <patternFill patternType="none">
          <bgColor auto="1"/>
        </patternFill>
      </fill>
      <border>
        <left/>
        <right/>
        <vertical/>
        <horizontal/>
      </border>
    </dxf>
    <dxf>
      <fill>
        <patternFill patternType="none">
          <bgColor auto="1"/>
        </patternFill>
      </fill>
      <border>
        <left/>
        <right/>
        <bottom/>
        <vertical/>
        <horizontal/>
      </border>
    </dxf>
    <dxf>
      <fill>
        <patternFill patternType="none">
          <bgColor auto="1"/>
        </patternFill>
      </fill>
      <border>
        <left/>
        <right/>
        <bottom/>
        <vertical/>
        <horizontal/>
      </border>
    </dxf>
    <dxf>
      <fill>
        <patternFill patternType="none">
          <bgColor auto="1"/>
        </patternFill>
      </fill>
      <border>
        <left/>
        <right/>
        <top/>
        <bottom/>
        <vertical/>
        <horizontal/>
      </border>
    </dxf>
    <dxf>
      <fill>
        <patternFill patternType="none">
          <bgColor auto="1"/>
        </patternFill>
      </fill>
      <border>
        <left/>
        <right/>
        <bottom/>
        <vertical/>
        <horizontal/>
      </border>
    </dxf>
    <dxf>
      <fill>
        <patternFill patternType="none">
          <bgColor auto="1"/>
        </patternFill>
      </fill>
      <border>
        <left/>
        <right/>
        <vertical/>
        <horizontal/>
      </border>
    </dxf>
    <dxf>
      <fill>
        <patternFill>
          <bgColor rgb="FFED878E"/>
        </patternFill>
      </fill>
    </dxf>
    <dxf>
      <fill>
        <patternFill>
          <bgColor rgb="FFFFD961"/>
        </patternFill>
      </fill>
    </dxf>
    <dxf>
      <fill>
        <patternFill>
          <bgColor rgb="FFC0DDAD"/>
        </patternFill>
      </fill>
    </dxf>
    <dxf>
      <fill>
        <patternFill>
          <bgColor rgb="FFED878E"/>
        </patternFill>
      </fill>
    </dxf>
    <dxf>
      <fill>
        <patternFill>
          <bgColor rgb="FFFFD961"/>
        </patternFill>
      </fill>
    </dxf>
    <dxf>
      <fill>
        <patternFill>
          <bgColor rgb="FFC0DDAD"/>
        </patternFill>
      </fill>
    </dxf>
    <dxf>
      <fill>
        <patternFill>
          <bgColor rgb="FF73B04A"/>
        </patternFill>
      </fill>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bottom/>
        <vertical/>
        <horizontal/>
      </border>
    </dxf>
    <dxf>
      <fill>
        <patternFill patternType="none">
          <bgColor auto="1"/>
        </patternFill>
      </fill>
      <border>
        <left/>
        <right/>
        <vertical/>
        <horizontal/>
      </border>
    </dxf>
    <dxf>
      <fill>
        <patternFill patternType="none">
          <bgColor auto="1"/>
        </patternFill>
      </fill>
      <border>
        <left/>
        <right/>
        <bottom/>
        <vertical/>
        <horizontal/>
      </border>
    </dxf>
    <dxf>
      <fill>
        <patternFill patternType="none">
          <bgColor auto="1"/>
        </patternFill>
      </fill>
      <border>
        <left/>
        <right/>
        <bottom/>
        <vertical/>
        <horizontal/>
      </border>
    </dxf>
    <dxf>
      <fill>
        <patternFill>
          <bgColor rgb="FFFFD961"/>
        </patternFill>
      </fill>
    </dxf>
    <dxf>
      <fill>
        <patternFill>
          <bgColor rgb="FFED878E"/>
        </patternFill>
      </fill>
    </dxf>
    <dxf>
      <fill>
        <patternFill>
          <bgColor rgb="FFC0DDAD"/>
        </patternFill>
      </fill>
    </dxf>
    <dxf>
      <fill>
        <patternFill>
          <bgColor rgb="FF73B04A"/>
        </patternFill>
      </fill>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bottom/>
        <vertical/>
        <horizontal/>
      </border>
    </dxf>
    <dxf>
      <fill>
        <patternFill patternType="none">
          <bgColor auto="1"/>
        </patternFill>
      </fill>
      <border>
        <left/>
        <right/>
        <vertical/>
        <horizontal/>
      </border>
    </dxf>
    <dxf>
      <fill>
        <patternFill>
          <bgColor rgb="FFFFD961"/>
        </patternFill>
      </fill>
    </dxf>
    <dxf>
      <fill>
        <patternFill>
          <bgColor rgb="FFED878E"/>
        </patternFill>
      </fill>
    </dxf>
    <dxf>
      <fill>
        <patternFill>
          <bgColor rgb="FFC0DDAD"/>
        </patternFill>
      </fill>
    </dxf>
    <dxf>
      <fill>
        <patternFill>
          <bgColor rgb="FF73B04A"/>
        </patternFill>
      </fill>
    </dxf>
    <dxf>
      <fill>
        <patternFill patternType="none">
          <bgColor auto="1"/>
        </patternFill>
      </fill>
      <border>
        <left/>
        <right/>
        <top/>
        <bottom/>
        <vertical/>
        <horizontal/>
      </border>
    </dxf>
    <dxf>
      <fill>
        <patternFill>
          <bgColor rgb="FFFFD961"/>
        </patternFill>
      </fill>
    </dxf>
    <dxf>
      <fill>
        <patternFill>
          <bgColor rgb="FFED878E"/>
        </patternFill>
      </fill>
    </dxf>
    <dxf>
      <fill>
        <patternFill>
          <bgColor rgb="FFC0DDAD"/>
        </patternFill>
      </fill>
    </dxf>
    <dxf>
      <fill>
        <patternFill>
          <bgColor rgb="FF73B04A"/>
        </patternFill>
      </fill>
    </dxf>
    <dxf>
      <fill>
        <patternFill patternType="none">
          <bgColor auto="1"/>
        </patternFill>
      </fill>
      <border>
        <left/>
        <right/>
        <bottom/>
        <vertical/>
        <horizontal/>
      </border>
    </dxf>
    <dxf>
      <fill>
        <patternFill patternType="none">
          <bgColor auto="1"/>
        </patternFill>
      </fill>
      <border>
        <left/>
        <right/>
        <top/>
        <bottom/>
        <vertical/>
        <horizontal/>
      </border>
    </dxf>
    <dxf>
      <fill>
        <patternFill>
          <bgColor rgb="FFED878E"/>
        </patternFill>
      </fill>
    </dxf>
    <dxf>
      <fill>
        <patternFill>
          <bgColor rgb="FFFFD961"/>
        </patternFill>
      </fill>
    </dxf>
    <dxf>
      <fill>
        <patternFill>
          <bgColor rgb="FFC0DDAD"/>
        </patternFill>
      </fill>
    </dxf>
    <dxf>
      <fill>
        <patternFill>
          <bgColor rgb="FFFFD961"/>
        </patternFill>
      </fill>
    </dxf>
    <dxf>
      <fill>
        <patternFill>
          <bgColor rgb="FFED878E"/>
        </patternFill>
      </fill>
    </dxf>
    <dxf>
      <fill>
        <patternFill>
          <bgColor rgb="FFC0DDAD"/>
        </patternFill>
      </fill>
    </dxf>
    <dxf>
      <fill>
        <patternFill>
          <bgColor rgb="FF73B04A"/>
        </patternFill>
      </fill>
    </dxf>
    <dxf>
      <fill>
        <patternFill patternType="none">
          <bgColor auto="1"/>
        </patternFill>
      </fill>
      <border>
        <left/>
        <right/>
        <vertical/>
        <horizontal/>
      </border>
    </dxf>
    <dxf>
      <border>
        <left/>
        <right/>
        <bottom/>
        <vertical/>
        <horizontal/>
      </border>
    </dxf>
    <dxf>
      <fill>
        <patternFill>
          <bgColor rgb="FFED878E"/>
        </patternFill>
      </fill>
    </dxf>
    <dxf>
      <fill>
        <patternFill>
          <bgColor rgb="FFFFD961"/>
        </patternFill>
      </fill>
    </dxf>
    <dxf>
      <fill>
        <patternFill>
          <bgColor rgb="FFC0DDAD"/>
        </patternFill>
      </fill>
    </dxf>
    <dxf>
      <fill>
        <patternFill>
          <bgColor rgb="FF73B04A"/>
        </patternFill>
      </fill>
    </dxf>
    <dxf>
      <fill>
        <patternFill>
          <bgColor rgb="FFED878E"/>
        </patternFill>
      </fill>
    </dxf>
    <dxf>
      <fill>
        <patternFill>
          <bgColor rgb="FFFFD961"/>
        </patternFill>
      </fill>
    </dxf>
    <dxf>
      <fill>
        <patternFill>
          <bgColor rgb="FFC0DDAD"/>
        </patternFill>
      </fill>
    </dxf>
    <dxf>
      <fill>
        <patternFill>
          <bgColor rgb="FFFFD961"/>
        </patternFill>
      </fill>
    </dxf>
    <dxf>
      <fill>
        <patternFill>
          <bgColor rgb="FFED878E"/>
        </patternFill>
      </fill>
    </dxf>
    <dxf>
      <fill>
        <patternFill>
          <bgColor rgb="FFC0DDAD"/>
        </patternFill>
      </fill>
    </dxf>
    <dxf>
      <fill>
        <patternFill patternType="none">
          <bgColor auto="1"/>
        </patternFill>
      </fill>
      <border>
        <left/>
        <right/>
        <vertical/>
        <horizontal/>
      </border>
    </dxf>
    <dxf>
      <border>
        <bottom/>
        <vertical/>
        <horizontal/>
      </border>
    </dxf>
    <dxf>
      <font>
        <color theme="0"/>
      </font>
      <fill>
        <patternFill patternType="none">
          <bgColor auto="1"/>
        </patternFill>
      </fill>
      <border>
        <left/>
        <right/>
        <top style="thin">
          <color auto="1"/>
        </top>
        <bottom style="thin">
          <color auto="1"/>
        </bottom>
        <vertical/>
        <horizontal/>
      </border>
    </dxf>
    <dxf>
      <fill>
        <patternFill>
          <bgColor rgb="FFED878E"/>
        </patternFill>
      </fill>
    </dxf>
    <dxf>
      <fill>
        <patternFill>
          <bgColor rgb="FFFFD961"/>
        </patternFill>
      </fill>
    </dxf>
    <dxf>
      <fill>
        <patternFill>
          <bgColor rgb="FFC0DDAD"/>
        </patternFill>
      </fill>
    </dxf>
    <dxf>
      <fill>
        <patternFill>
          <bgColor rgb="FF73B04A"/>
        </patternFill>
      </fill>
    </dxf>
  </dxfs>
  <tableStyles count="0" defaultTableStyle="TableStyleMedium2" defaultPivotStyle="PivotStyleLight16"/>
  <colors>
    <mruColors>
      <color rgb="FF2E75B6"/>
      <color rgb="FFE8D3D4"/>
      <color rgb="FF104F75"/>
      <color rgb="FFE6B8B7"/>
      <color rgb="FFC0DDAD"/>
      <color rgb="FFFFD961"/>
      <color rgb="FFED878E"/>
      <color rgb="FF73B04A"/>
      <color rgb="FFC7A1E3"/>
      <color rgb="FFBA8B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drawings/_rels/drawing1.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image" Target="../media/image8.png"/><Relationship Id="rId5" Type="http://schemas.openxmlformats.org/officeDocument/2006/relationships/image" Target="../media/image7.png"/><Relationship Id="rId4"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3</xdr:col>
      <xdr:colOff>357909</xdr:colOff>
      <xdr:row>14</xdr:row>
      <xdr:rowOff>981365</xdr:rowOff>
    </xdr:from>
    <xdr:to>
      <xdr:col>6</xdr:col>
      <xdr:colOff>346363</xdr:colOff>
      <xdr:row>14</xdr:row>
      <xdr:rowOff>2292495</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1327727" y="5334001"/>
          <a:ext cx="1858818" cy="1311130"/>
        </a:xfrm>
        <a:prstGeom prst="rect">
          <a:avLst/>
        </a:prstGeom>
      </xdr:spPr>
    </xdr:pic>
    <xdr:clientData/>
  </xdr:twoCellAnchor>
  <xdr:twoCellAnchor editAs="oneCell">
    <xdr:from>
      <xdr:col>3</xdr:col>
      <xdr:colOff>496455</xdr:colOff>
      <xdr:row>14</xdr:row>
      <xdr:rowOff>2759314</xdr:rowOff>
    </xdr:from>
    <xdr:to>
      <xdr:col>5</xdr:col>
      <xdr:colOff>427183</xdr:colOff>
      <xdr:row>14</xdr:row>
      <xdr:rowOff>5132989</xdr:rowOff>
    </xdr:to>
    <xdr:pic>
      <xdr:nvPicPr>
        <xdr:cNvPr id="3" name="Picture 2">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2"/>
        <a:stretch>
          <a:fillRect/>
        </a:stretch>
      </xdr:blipFill>
      <xdr:spPr>
        <a:xfrm>
          <a:off x="1466273" y="7111950"/>
          <a:ext cx="1177637" cy="2373675"/>
        </a:xfrm>
        <a:prstGeom prst="rect">
          <a:avLst/>
        </a:prstGeom>
      </xdr:spPr>
    </xdr:pic>
    <xdr:clientData/>
  </xdr:twoCellAnchor>
  <xdr:twoCellAnchor editAs="oneCell">
    <xdr:from>
      <xdr:col>3</xdr:col>
      <xdr:colOff>323272</xdr:colOff>
      <xdr:row>15</xdr:row>
      <xdr:rowOff>531092</xdr:rowOff>
    </xdr:from>
    <xdr:to>
      <xdr:col>6</xdr:col>
      <xdr:colOff>524342</xdr:colOff>
      <xdr:row>15</xdr:row>
      <xdr:rowOff>4075546</xdr:rowOff>
    </xdr:to>
    <xdr:pic>
      <xdr:nvPicPr>
        <xdr:cNvPr id="4" name="Picture 3">
          <a:extLst>
            <a:ext uri="{FF2B5EF4-FFF2-40B4-BE49-F238E27FC236}">
              <a16:creationId xmlns:a16="http://schemas.microsoft.com/office/drawing/2014/main" xmlns="" id="{00000000-0008-0000-0000-000004000000}"/>
            </a:ext>
          </a:extLst>
        </xdr:cNvPr>
        <xdr:cNvPicPr>
          <a:picLocks noChangeAspect="1"/>
        </xdr:cNvPicPr>
      </xdr:nvPicPr>
      <xdr:blipFill>
        <a:blip xmlns:r="http://schemas.openxmlformats.org/officeDocument/2006/relationships" r:embed="rId3"/>
        <a:stretch>
          <a:fillRect/>
        </a:stretch>
      </xdr:blipFill>
      <xdr:spPr>
        <a:xfrm>
          <a:off x="1293090" y="10067637"/>
          <a:ext cx="2071434" cy="3544454"/>
        </a:xfrm>
        <a:prstGeom prst="rect">
          <a:avLst/>
        </a:prstGeom>
      </xdr:spPr>
    </xdr:pic>
    <xdr:clientData/>
  </xdr:twoCellAnchor>
  <xdr:twoCellAnchor editAs="oneCell">
    <xdr:from>
      <xdr:col>3</xdr:col>
      <xdr:colOff>207819</xdr:colOff>
      <xdr:row>15</xdr:row>
      <xdr:rowOff>4768273</xdr:rowOff>
    </xdr:from>
    <xdr:to>
      <xdr:col>15</xdr:col>
      <xdr:colOff>496201</xdr:colOff>
      <xdr:row>16</xdr:row>
      <xdr:rowOff>1339273</xdr:rowOff>
    </xdr:to>
    <xdr:pic>
      <xdr:nvPicPr>
        <xdr:cNvPr id="5" name="Picture 4">
          <a:extLst>
            <a:ext uri="{FF2B5EF4-FFF2-40B4-BE49-F238E27FC236}">
              <a16:creationId xmlns:a16="http://schemas.microsoft.com/office/drawing/2014/main" xmlns="" id="{00000000-0008-0000-0000-000005000000}"/>
            </a:ext>
          </a:extLst>
        </xdr:cNvPr>
        <xdr:cNvPicPr>
          <a:picLocks noChangeAspect="1"/>
        </xdr:cNvPicPr>
      </xdr:nvPicPr>
      <xdr:blipFill>
        <a:blip xmlns:r="http://schemas.openxmlformats.org/officeDocument/2006/relationships" r:embed="rId4"/>
        <a:stretch>
          <a:fillRect/>
        </a:stretch>
      </xdr:blipFill>
      <xdr:spPr>
        <a:xfrm>
          <a:off x="1177637" y="14304818"/>
          <a:ext cx="8070019" cy="1754909"/>
        </a:xfrm>
        <a:prstGeom prst="rect">
          <a:avLst/>
        </a:prstGeom>
      </xdr:spPr>
    </xdr:pic>
    <xdr:clientData/>
  </xdr:twoCellAnchor>
  <xdr:twoCellAnchor editAs="oneCell">
    <xdr:from>
      <xdr:col>3</xdr:col>
      <xdr:colOff>173181</xdr:colOff>
      <xdr:row>16</xdr:row>
      <xdr:rowOff>1708727</xdr:rowOff>
    </xdr:from>
    <xdr:to>
      <xdr:col>10</xdr:col>
      <xdr:colOff>415636</xdr:colOff>
      <xdr:row>16</xdr:row>
      <xdr:rowOff>5143617</xdr:rowOff>
    </xdr:to>
    <xdr:pic>
      <xdr:nvPicPr>
        <xdr:cNvPr id="7" name="Picture 6">
          <a:extLst>
            <a:ext uri="{FF2B5EF4-FFF2-40B4-BE49-F238E27FC236}">
              <a16:creationId xmlns:a16="http://schemas.microsoft.com/office/drawing/2014/main" xmlns="" id="{00000000-0008-0000-0000-000007000000}"/>
            </a:ext>
          </a:extLst>
        </xdr:cNvPr>
        <xdr:cNvPicPr>
          <a:picLocks noChangeAspect="1"/>
        </xdr:cNvPicPr>
      </xdr:nvPicPr>
      <xdr:blipFill>
        <a:blip xmlns:r="http://schemas.openxmlformats.org/officeDocument/2006/relationships" r:embed="rId5"/>
        <a:stretch>
          <a:fillRect/>
        </a:stretch>
      </xdr:blipFill>
      <xdr:spPr>
        <a:xfrm>
          <a:off x="1142999" y="16429182"/>
          <a:ext cx="4606637" cy="343489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xdr:col>
          <xdr:colOff>180975</xdr:colOff>
          <xdr:row>17</xdr:row>
          <xdr:rowOff>333375</xdr:rowOff>
        </xdr:from>
        <xdr:to>
          <xdr:col>7</xdr:col>
          <xdr:colOff>609600</xdr:colOff>
          <xdr:row>17</xdr:row>
          <xdr:rowOff>714375</xdr:rowOff>
        </xdr:to>
        <xdr:sp macro="" textlink="">
          <xdr:nvSpPr>
            <xdr:cNvPr id="2049" name="For_Full_Access" hidden="1">
              <a:extLst>
                <a:ext uri="{63B3BB69-23CF-44E3-9099-C40C66FF867C}">
                  <a14:compatExt spid="_x0000_s2049"/>
                </a:ext>
                <a:ext uri="{FF2B5EF4-FFF2-40B4-BE49-F238E27FC236}">
                  <a16:creationId xmlns:a16="http://schemas.microsoft.com/office/drawing/2014/main" xmlns="" id="{00000000-0008-0000-00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13</xdr:row>
          <xdr:rowOff>1657350</xdr:rowOff>
        </xdr:from>
        <xdr:to>
          <xdr:col>8</xdr:col>
          <xdr:colOff>171450</xdr:colOff>
          <xdr:row>13</xdr:row>
          <xdr:rowOff>2038350</xdr:rowOff>
        </xdr:to>
        <xdr:sp macro="" textlink="">
          <xdr:nvSpPr>
            <xdr:cNvPr id="2050" name="For_Full_Access_1" hidden="1">
              <a:extLst>
                <a:ext uri="{63B3BB69-23CF-44E3-9099-C40C66FF867C}">
                  <a14:compatExt spid="_x0000_s2050"/>
                </a:ext>
                <a:ext uri="{FF2B5EF4-FFF2-40B4-BE49-F238E27FC236}">
                  <a16:creationId xmlns:a16="http://schemas.microsoft.com/office/drawing/2014/main" xmlns="" id="{00000000-0008-0000-0000-00000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3</xdr:col>
      <xdr:colOff>184727</xdr:colOff>
      <xdr:row>13</xdr:row>
      <xdr:rowOff>588818</xdr:rowOff>
    </xdr:from>
    <xdr:to>
      <xdr:col>10</xdr:col>
      <xdr:colOff>150091</xdr:colOff>
      <xdr:row>13</xdr:row>
      <xdr:rowOff>923374</xdr:rowOff>
    </xdr:to>
    <xdr:pic>
      <xdr:nvPicPr>
        <xdr:cNvPr id="9" name="Picture 8">
          <a:extLst>
            <a:ext uri="{FF2B5EF4-FFF2-40B4-BE49-F238E27FC236}">
              <a16:creationId xmlns:a16="http://schemas.microsoft.com/office/drawing/2014/main" xmlns="" id="{00000000-0008-0000-0000-000009000000}"/>
            </a:ext>
          </a:extLst>
        </xdr:cNvPr>
        <xdr:cNvPicPr>
          <a:picLocks noChangeAspect="1"/>
        </xdr:cNvPicPr>
      </xdr:nvPicPr>
      <xdr:blipFill>
        <a:blip xmlns:r="http://schemas.openxmlformats.org/officeDocument/2006/relationships" r:embed="rId6"/>
        <a:stretch>
          <a:fillRect/>
        </a:stretch>
      </xdr:blipFill>
      <xdr:spPr>
        <a:xfrm>
          <a:off x="1154545" y="4941454"/>
          <a:ext cx="4329546" cy="3345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0</xdr:colOff>
      <xdr:row>29</xdr:row>
      <xdr:rowOff>166684</xdr:rowOff>
    </xdr:from>
    <xdr:to>
      <xdr:col>8</xdr:col>
      <xdr:colOff>0</xdr:colOff>
      <xdr:row>32</xdr:row>
      <xdr:rowOff>50171</xdr:rowOff>
    </xdr:to>
    <xdr:sp macro="[0]!Reset_school_20" textlink="">
      <xdr:nvSpPr>
        <xdr:cNvPr id="40" name="Rectangle 39">
          <a:extLst>
            <a:ext uri="{FF2B5EF4-FFF2-40B4-BE49-F238E27FC236}">
              <a16:creationId xmlns:a16="http://schemas.microsoft.com/office/drawing/2014/main" xmlns="" id="{00000000-0008-0000-0300-000028000000}"/>
            </a:ext>
          </a:extLst>
        </xdr:cNvPr>
        <xdr:cNvSpPr/>
      </xdr:nvSpPr>
      <xdr:spPr>
        <a:xfrm>
          <a:off x="95428594" y="6036465"/>
          <a:ext cx="4011449" cy="43712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t"/>
        <a:lstStyle/>
        <a:p>
          <a:pPr algn="l"/>
          <a:r>
            <a:rPr lang="en-GB" sz="1200">
              <a:solidFill>
                <a:sysClr val="windowText" lastClr="000000"/>
              </a:solidFill>
              <a:latin typeface="Arial" panose="020B0604020202020204" pitchFamily="34" charset="0"/>
              <a:cs typeface="Arial" panose="020B0604020202020204" pitchFamily="34" charset="0"/>
            </a:rPr>
            <a:t>To reset the form to draw from the raw spending and characteristics data, </a:t>
          </a:r>
          <a:r>
            <a:rPr lang="en-GB" sz="1200" u="sng" baseline="0">
              <a:solidFill>
                <a:schemeClr val="accent1">
                  <a:lumMod val="75000"/>
                </a:schemeClr>
              </a:solidFill>
              <a:latin typeface="Arial" panose="020B0604020202020204" pitchFamily="34" charset="0"/>
              <a:cs typeface="Arial" panose="020B0604020202020204" pitchFamily="34" charset="0"/>
            </a:rPr>
            <a:t>click here</a:t>
          </a:r>
          <a:r>
            <a:rPr lang="en-GB" sz="1200" u="sng">
              <a:solidFill>
                <a:schemeClr val="accent1">
                  <a:lumMod val="75000"/>
                </a:schemeClr>
              </a:solidFill>
              <a:latin typeface="Arial" panose="020B0604020202020204" pitchFamily="34" charset="0"/>
              <a:cs typeface="Arial" panose="020B0604020202020204" pitchFamily="34" charset="0"/>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image" Target="../media/image2.emf"/><Relationship Id="rId3" Type="http://schemas.openxmlformats.org/officeDocument/2006/relationships/drawing" Target="../drawings/drawing1.xml"/><Relationship Id="rId7" Type="http://schemas.openxmlformats.org/officeDocument/2006/relationships/control" Target="../activeX/activeX2.xml"/><Relationship Id="rId2" Type="http://schemas.openxmlformats.org/officeDocument/2006/relationships/customProperty" Target="../customProperty1.bin"/><Relationship Id="rId1" Type="http://schemas.openxmlformats.org/officeDocument/2006/relationships/printerSettings" Target="../printerSettings/printerSettings1.bin"/><Relationship Id="rId6" Type="http://schemas.openxmlformats.org/officeDocument/2006/relationships/image" Target="../media/image1.emf"/><Relationship Id="rId5" Type="http://schemas.openxmlformats.org/officeDocument/2006/relationships/control" Target="../activeX/activeX1.xml"/><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hyperlink" Target="https://tinyurl.com/y5g4obmj" TargetMode="External"/><Relationship Id="rId18" Type="http://schemas.openxmlformats.org/officeDocument/2006/relationships/hyperlink" Target="https://tinyurl.com/ydyernhc" TargetMode="External"/><Relationship Id="rId26" Type="http://schemas.openxmlformats.org/officeDocument/2006/relationships/hyperlink" Target="https://tinyurl.com/y9qnxjyt" TargetMode="External"/><Relationship Id="rId39" Type="http://schemas.openxmlformats.org/officeDocument/2006/relationships/hyperlink" Target="https://tinyurl.com/yxm95m65" TargetMode="External"/><Relationship Id="rId3" Type="http://schemas.openxmlformats.org/officeDocument/2006/relationships/hyperlink" Target="https://tinyurl.com/y4ujbtbx" TargetMode="External"/><Relationship Id="rId21" Type="http://schemas.openxmlformats.org/officeDocument/2006/relationships/hyperlink" Target="https://tinyurl.com/yd8qpdnv" TargetMode="External"/><Relationship Id="rId34" Type="http://schemas.openxmlformats.org/officeDocument/2006/relationships/hyperlink" Target="https://tinyurl.com/y2pjxc65" TargetMode="External"/><Relationship Id="rId42" Type="http://schemas.openxmlformats.org/officeDocument/2006/relationships/hyperlink" Target="https://tinyurl.com/y6lmb98r" TargetMode="External"/><Relationship Id="rId47" Type="http://schemas.openxmlformats.org/officeDocument/2006/relationships/hyperlink" Target="https://tinyurl.com/y6gmkpnl" TargetMode="External"/><Relationship Id="rId50" Type="http://schemas.openxmlformats.org/officeDocument/2006/relationships/hyperlink" Target="https://tinyurl.com/y3qambck" TargetMode="External"/><Relationship Id="rId7" Type="http://schemas.openxmlformats.org/officeDocument/2006/relationships/hyperlink" Target="https://tinyurl.com/yxuq4y7y" TargetMode="External"/><Relationship Id="rId12" Type="http://schemas.openxmlformats.org/officeDocument/2006/relationships/hyperlink" Target="https://tinyurl.com/y6lmb98r" TargetMode="External"/><Relationship Id="rId17" Type="http://schemas.openxmlformats.org/officeDocument/2006/relationships/hyperlink" Target="https://tinyurl.com/y6yb3bx5" TargetMode="External"/><Relationship Id="rId25" Type="http://schemas.openxmlformats.org/officeDocument/2006/relationships/hyperlink" Target="https://tinyurl.com/y8yunedz" TargetMode="External"/><Relationship Id="rId33" Type="http://schemas.openxmlformats.org/officeDocument/2006/relationships/hyperlink" Target="https://tinyurl.com/ybkkgzh5" TargetMode="External"/><Relationship Id="rId38" Type="http://schemas.openxmlformats.org/officeDocument/2006/relationships/hyperlink" Target="https://tinyurl.com/y7be5hz3" TargetMode="External"/><Relationship Id="rId46" Type="http://schemas.openxmlformats.org/officeDocument/2006/relationships/hyperlink" Target="https://tinyurl.com/y6oel8t2" TargetMode="External"/><Relationship Id="rId2" Type="http://schemas.openxmlformats.org/officeDocument/2006/relationships/hyperlink" Target="https://tinyurl.com/y58zh3z3" TargetMode="External"/><Relationship Id="rId16" Type="http://schemas.openxmlformats.org/officeDocument/2006/relationships/hyperlink" Target="https://tinyurl.com/y462sxwt" TargetMode="External"/><Relationship Id="rId20" Type="http://schemas.openxmlformats.org/officeDocument/2006/relationships/hyperlink" Target="https://tinyurl.com/y59tljrq" TargetMode="External"/><Relationship Id="rId29" Type="http://schemas.openxmlformats.org/officeDocument/2006/relationships/hyperlink" Target="https://tinyurl.com/yc8bdsw3" TargetMode="External"/><Relationship Id="rId41" Type="http://schemas.openxmlformats.org/officeDocument/2006/relationships/hyperlink" Target="https://tinyurl.com/y3rj3x5c" TargetMode="External"/><Relationship Id="rId1" Type="http://schemas.openxmlformats.org/officeDocument/2006/relationships/hyperlink" Target="https://www.gov.uk/government/publications/school-resource-management-self-assessment-tool/checklist-support-notes" TargetMode="External"/><Relationship Id="rId6" Type="http://schemas.openxmlformats.org/officeDocument/2006/relationships/hyperlink" Target="https://tinyurl.com/y3pu8vkg" TargetMode="External"/><Relationship Id="rId11" Type="http://schemas.openxmlformats.org/officeDocument/2006/relationships/hyperlink" Target="https://tinyurl.com/y3qambck" TargetMode="External"/><Relationship Id="rId24" Type="http://schemas.openxmlformats.org/officeDocument/2006/relationships/hyperlink" Target="https://tinyurl.com/ycj89dxe" TargetMode="External"/><Relationship Id="rId32" Type="http://schemas.openxmlformats.org/officeDocument/2006/relationships/hyperlink" Target="https://tinyurl.com/yy9ptu7w" TargetMode="External"/><Relationship Id="rId37" Type="http://schemas.openxmlformats.org/officeDocument/2006/relationships/hyperlink" Target="https://tinyurl.com/y23q888e" TargetMode="External"/><Relationship Id="rId40" Type="http://schemas.openxmlformats.org/officeDocument/2006/relationships/hyperlink" Target="https://tinyurl.com/y58zh3z3" TargetMode="External"/><Relationship Id="rId45" Type="http://schemas.openxmlformats.org/officeDocument/2006/relationships/hyperlink" Target="https://tinyurl.com/y6oel8t2" TargetMode="External"/><Relationship Id="rId5" Type="http://schemas.openxmlformats.org/officeDocument/2006/relationships/hyperlink" Target="https://tinyurl.com/y2m3d4ts" TargetMode="External"/><Relationship Id="rId15" Type="http://schemas.openxmlformats.org/officeDocument/2006/relationships/hyperlink" Target="https://tinyurl.com/yxdfgbfv" TargetMode="External"/><Relationship Id="rId23" Type="http://schemas.openxmlformats.org/officeDocument/2006/relationships/hyperlink" Target="https://tinyurl.com/y4dboxkx" TargetMode="External"/><Relationship Id="rId28" Type="http://schemas.openxmlformats.org/officeDocument/2006/relationships/hyperlink" Target="https://tinyurl.com/y9el4d68" TargetMode="External"/><Relationship Id="rId36" Type="http://schemas.openxmlformats.org/officeDocument/2006/relationships/hyperlink" Target="https://tinyurl.com/y7v84eet" TargetMode="External"/><Relationship Id="rId49" Type="http://schemas.openxmlformats.org/officeDocument/2006/relationships/hyperlink" Target="https://tinyurl.com/y3smnahy" TargetMode="External"/><Relationship Id="rId10" Type="http://schemas.openxmlformats.org/officeDocument/2006/relationships/hyperlink" Target="https://tinyurl.com/yafz9m5s" TargetMode="External"/><Relationship Id="rId19" Type="http://schemas.openxmlformats.org/officeDocument/2006/relationships/hyperlink" Target="https://tinyurl.com/y6oel8t2" TargetMode="External"/><Relationship Id="rId31" Type="http://schemas.openxmlformats.org/officeDocument/2006/relationships/hyperlink" Target="https://tinyurl.com/y43xnpkq" TargetMode="External"/><Relationship Id="rId44" Type="http://schemas.openxmlformats.org/officeDocument/2006/relationships/hyperlink" Target="https://tinyurl.com/yxc985nf" TargetMode="External"/><Relationship Id="rId52" Type="http://schemas.openxmlformats.org/officeDocument/2006/relationships/customProperty" Target="../customProperty3.bin"/><Relationship Id="rId4" Type="http://schemas.openxmlformats.org/officeDocument/2006/relationships/hyperlink" Target="https://tinyurl.com/y3rj3x5c" TargetMode="External"/><Relationship Id="rId9" Type="http://schemas.openxmlformats.org/officeDocument/2006/relationships/hyperlink" Target="https://tinyurl.com/yywkzlre" TargetMode="External"/><Relationship Id="rId14" Type="http://schemas.openxmlformats.org/officeDocument/2006/relationships/hyperlink" Target="https://tinyurl.com/yxc985nf" TargetMode="External"/><Relationship Id="rId22" Type="http://schemas.openxmlformats.org/officeDocument/2006/relationships/hyperlink" Target="https://tinyurl.com/yd8qpdnv" TargetMode="External"/><Relationship Id="rId27" Type="http://schemas.openxmlformats.org/officeDocument/2006/relationships/hyperlink" Target="https://tinyurl.com/y327xw9j" TargetMode="External"/><Relationship Id="rId30" Type="http://schemas.openxmlformats.org/officeDocument/2006/relationships/hyperlink" Target="https://tinyurl.com/yceug3vy" TargetMode="External"/><Relationship Id="rId35" Type="http://schemas.openxmlformats.org/officeDocument/2006/relationships/hyperlink" Target="https://tinyurl.com/y2pjxc65" TargetMode="External"/><Relationship Id="rId43" Type="http://schemas.openxmlformats.org/officeDocument/2006/relationships/hyperlink" Target="https://tinyurl.com/yxdfgbfv" TargetMode="External"/><Relationship Id="rId48" Type="http://schemas.openxmlformats.org/officeDocument/2006/relationships/hyperlink" Target="https://tinyurl.com/y3smnahy" TargetMode="External"/><Relationship Id="rId8" Type="http://schemas.openxmlformats.org/officeDocument/2006/relationships/hyperlink" Target="https://tinyurl.com/yxuq4y7y" TargetMode="External"/><Relationship Id="rId5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gov.uk/government/publications/school-resource-management-self-assessment-tool/dashboard-support-notes" TargetMode="External"/><Relationship Id="rId13" Type="http://schemas.openxmlformats.org/officeDocument/2006/relationships/hyperlink" Target="https://www.gov.uk/government/publications/school-resource-management-self-assessment-tool/dashboard-support-notes" TargetMode="External"/><Relationship Id="rId18" Type="http://schemas.openxmlformats.org/officeDocument/2006/relationships/hyperlink" Target="https://www.gov.uk/government/publications/school-resource-management-self-assessment-tool/dashboard-support-notes" TargetMode="External"/><Relationship Id="rId26" Type="http://schemas.openxmlformats.org/officeDocument/2006/relationships/printerSettings" Target="../printerSettings/printerSettings4.bin"/><Relationship Id="rId3" Type="http://schemas.openxmlformats.org/officeDocument/2006/relationships/hyperlink" Target="https://www.gov.uk/government/publications/school-resource-management-self-assessment-tool/dashboard-support-notes" TargetMode="External"/><Relationship Id="rId21" Type="http://schemas.openxmlformats.org/officeDocument/2006/relationships/hyperlink" Target="https://www.gov.uk/government/publications/school-resource-management-self-assessment-tool/dashboard-support-notes" TargetMode="External"/><Relationship Id="rId7" Type="http://schemas.openxmlformats.org/officeDocument/2006/relationships/hyperlink" Target="https://www.gov.uk/government/publications/school-resource-management-self-assessment-tool/dashboard-support-notes" TargetMode="External"/><Relationship Id="rId12" Type="http://schemas.openxmlformats.org/officeDocument/2006/relationships/hyperlink" Target="https://www.gov.uk/government/publications/school-resource-management-self-assessment-tool/dashboard-support-notes" TargetMode="External"/><Relationship Id="rId17" Type="http://schemas.openxmlformats.org/officeDocument/2006/relationships/hyperlink" Target="https://www.gov.uk/government/publications/school-resource-management-self-assessment-tool/dashboard-support-notes" TargetMode="External"/><Relationship Id="rId25" Type="http://schemas.openxmlformats.org/officeDocument/2006/relationships/hyperlink" Target="https://www.gov.uk/government/publications/school-resource-management-self-assessment-tool/dashboard-support-notes" TargetMode="External"/><Relationship Id="rId2" Type="http://schemas.openxmlformats.org/officeDocument/2006/relationships/hyperlink" Target="https://www.gov.uk/government/publications/school-resource-management-self-assessment-tool/dashboard-support-notes" TargetMode="External"/><Relationship Id="rId16" Type="http://schemas.openxmlformats.org/officeDocument/2006/relationships/hyperlink" Target="https://www.gov.uk/government/publications/school-resource-management-self-assessment-tool/dashboard-support-notes" TargetMode="External"/><Relationship Id="rId20" Type="http://schemas.openxmlformats.org/officeDocument/2006/relationships/hyperlink" Target="https://www.gov.uk/government/publications/school-resource-management-self-assessment-tool/dashboard-support-notes" TargetMode="External"/><Relationship Id="rId1" Type="http://schemas.openxmlformats.org/officeDocument/2006/relationships/hyperlink" Target="https://www.gov.uk/government/publications/school-resource-management-self-assessment-tool/dashboard-support-notes" TargetMode="External"/><Relationship Id="rId6" Type="http://schemas.openxmlformats.org/officeDocument/2006/relationships/hyperlink" Target="https://www.gov.uk/government/publications/school-resource-management-self-assessment-tool/dashboard-support-notes" TargetMode="External"/><Relationship Id="rId11" Type="http://schemas.openxmlformats.org/officeDocument/2006/relationships/hyperlink" Target="https://www.gov.uk/government/publications/school-resource-management-self-assessment-tool/dashboard-support-notes" TargetMode="External"/><Relationship Id="rId24" Type="http://schemas.openxmlformats.org/officeDocument/2006/relationships/hyperlink" Target="https://www.gov.uk/government/publications/school-resource-management-self-assessment-tool/dashboard-support-notes" TargetMode="External"/><Relationship Id="rId5" Type="http://schemas.openxmlformats.org/officeDocument/2006/relationships/hyperlink" Target="https://www.gov.uk/government/publications/school-resource-management-self-assessment-tool/dashboard-support-notes" TargetMode="External"/><Relationship Id="rId15" Type="http://schemas.openxmlformats.org/officeDocument/2006/relationships/hyperlink" Target="https://www.gov.uk/government/publications/school-resource-management-self-assessment-tool/dashboard-support-notes" TargetMode="External"/><Relationship Id="rId23" Type="http://schemas.openxmlformats.org/officeDocument/2006/relationships/hyperlink" Target="https://www.gov.uk/government/publications/school-resource-management-self-assessment-tool/dashboard-support-notes" TargetMode="External"/><Relationship Id="rId28" Type="http://schemas.openxmlformats.org/officeDocument/2006/relationships/drawing" Target="../drawings/drawing2.xml"/><Relationship Id="rId10" Type="http://schemas.openxmlformats.org/officeDocument/2006/relationships/hyperlink" Target="https://www.gov.uk/government/publications/school-resource-management-self-assessment-tool/dashboard-support-notes" TargetMode="External"/><Relationship Id="rId19" Type="http://schemas.openxmlformats.org/officeDocument/2006/relationships/hyperlink" Target="https://www.gov.uk/government/publications/school-resource-management-self-assessment-tool/dashboard-support-notes" TargetMode="External"/><Relationship Id="rId4" Type="http://schemas.openxmlformats.org/officeDocument/2006/relationships/hyperlink" Target="https://www.gov.uk/government/publications/school-resource-management-self-assessment-tool/dashboard-support-notes" TargetMode="External"/><Relationship Id="rId9" Type="http://schemas.openxmlformats.org/officeDocument/2006/relationships/hyperlink" Target="https://www.gov.uk/government/publications/school-resource-management-self-assessment-tool/dashboard-support-notes" TargetMode="External"/><Relationship Id="rId14" Type="http://schemas.openxmlformats.org/officeDocument/2006/relationships/hyperlink" Target="https://www.gov.uk/government/publications/school-resource-management-self-assessment-tool/dashboard-support-notes" TargetMode="External"/><Relationship Id="rId22" Type="http://schemas.openxmlformats.org/officeDocument/2006/relationships/hyperlink" Target="https://www.gov.uk/government/publications/school-resource-management-self-assessment-tool/dashboard-support-notes" TargetMode="External"/><Relationship Id="rId27" Type="http://schemas.openxmlformats.org/officeDocument/2006/relationships/customProperty" Target="../customProperty4.bin"/></Relationships>
</file>

<file path=xl/worksheets/_rels/sheet5.xml.rels><?xml version="1.0" encoding="UTF-8" standalone="yes"?>
<Relationships xmlns="http://schemas.openxmlformats.org/package/2006/relationships"><Relationship Id="rId1" Type="http://schemas.openxmlformats.org/officeDocument/2006/relationships/customProperty" Target="../customProperty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theme="0"/>
  </sheetPr>
  <dimension ref="A1:X26"/>
  <sheetViews>
    <sheetView tabSelected="1" zoomScale="60" zoomScaleNormal="60" workbookViewId="0"/>
  </sheetViews>
  <sheetFormatPr defaultColWidth="0" defaultRowHeight="14.25" zeroHeight="1" x14ac:dyDescent="0.2"/>
  <cols>
    <col min="1" max="1" width="8" style="1" customWidth="1"/>
    <col min="2" max="2" width="2.5703125" style="1" customWidth="1"/>
    <col min="3" max="3" width="3.140625" style="1" customWidth="1"/>
    <col min="4" max="11" width="9" style="1" customWidth="1"/>
    <col min="12" max="12" width="10.5703125" style="1" customWidth="1"/>
    <col min="13" max="13" width="9" style="1" customWidth="1"/>
    <col min="14" max="18" width="10.140625" style="1" customWidth="1"/>
    <col min="19" max="20" width="9" style="1" customWidth="1"/>
    <col min="21" max="21" width="2.5703125" style="1" customWidth="1"/>
    <col min="22" max="22" width="7.5703125" style="1" customWidth="1"/>
    <col min="23" max="16384" width="9" style="1" hidden="1"/>
  </cols>
  <sheetData>
    <row r="1" spans="1:22" ht="14.25" customHeight="1" thickBot="1" x14ac:dyDescent="0.25">
      <c r="A1" s="133"/>
      <c r="B1" s="133"/>
      <c r="C1" s="133"/>
      <c r="D1" s="133"/>
      <c r="E1" s="133"/>
      <c r="F1" s="133"/>
      <c r="G1" s="133"/>
      <c r="H1" s="133"/>
      <c r="I1" s="133"/>
      <c r="J1" s="133"/>
      <c r="K1" s="133"/>
      <c r="L1" s="133"/>
      <c r="M1" s="133"/>
      <c r="N1" s="133"/>
      <c r="O1" s="133"/>
      <c r="P1" s="133"/>
      <c r="Q1" s="133"/>
      <c r="R1" s="133"/>
      <c r="S1" s="133"/>
      <c r="T1" s="133"/>
      <c r="U1" s="133"/>
      <c r="V1" s="133"/>
    </row>
    <row r="2" spans="1:22" x14ac:dyDescent="0.2">
      <c r="A2" s="133"/>
      <c r="B2" s="140"/>
      <c r="C2" s="144"/>
      <c r="D2" s="144"/>
      <c r="E2" s="144"/>
      <c r="F2" s="144"/>
      <c r="G2" s="144"/>
      <c r="H2" s="144"/>
      <c r="I2" s="144"/>
      <c r="J2" s="144"/>
      <c r="K2" s="144"/>
      <c r="L2" s="144"/>
      <c r="M2" s="144"/>
      <c r="N2" s="144"/>
      <c r="O2" s="144"/>
      <c r="P2" s="144"/>
      <c r="Q2" s="144"/>
      <c r="R2" s="144"/>
      <c r="S2" s="144"/>
      <c r="T2" s="144"/>
      <c r="U2" s="134"/>
      <c r="V2" s="133"/>
    </row>
    <row r="3" spans="1:22" ht="20.25" x14ac:dyDescent="0.2">
      <c r="A3" s="133"/>
      <c r="B3" s="141"/>
      <c r="C3" s="286" t="s">
        <v>149</v>
      </c>
      <c r="D3" s="286"/>
      <c r="E3" s="286"/>
      <c r="F3" s="286"/>
      <c r="G3" s="286"/>
      <c r="H3" s="286"/>
      <c r="I3" s="286"/>
      <c r="J3" s="286"/>
      <c r="K3" s="286"/>
      <c r="L3" s="286"/>
      <c r="M3" s="286"/>
      <c r="N3" s="286"/>
      <c r="O3" s="286"/>
      <c r="P3" s="286"/>
      <c r="Q3" s="286"/>
      <c r="R3" s="286"/>
      <c r="S3" s="286"/>
      <c r="T3" s="286"/>
      <c r="U3" s="135"/>
      <c r="V3" s="133"/>
    </row>
    <row r="4" spans="1:22" x14ac:dyDescent="0.2">
      <c r="A4" s="133"/>
      <c r="B4" s="141"/>
      <c r="C4" s="130"/>
      <c r="D4" s="130"/>
      <c r="E4" s="130"/>
      <c r="F4" s="130"/>
      <c r="G4" s="130"/>
      <c r="H4" s="130"/>
      <c r="I4" s="130"/>
      <c r="J4" s="130"/>
      <c r="K4" s="130"/>
      <c r="L4" s="130"/>
      <c r="M4" s="130"/>
      <c r="N4" s="130"/>
      <c r="O4" s="130"/>
      <c r="P4" s="130"/>
      <c r="Q4" s="130"/>
      <c r="R4" s="130"/>
      <c r="S4" s="130"/>
      <c r="T4" s="130"/>
      <c r="U4" s="135"/>
      <c r="V4" s="133"/>
    </row>
    <row r="5" spans="1:22" s="39" customFormat="1" ht="88.5" customHeight="1" x14ac:dyDescent="0.25">
      <c r="A5" s="137"/>
      <c r="B5" s="142"/>
      <c r="C5" s="287" t="s">
        <v>150</v>
      </c>
      <c r="D5" s="288"/>
      <c r="E5" s="288"/>
      <c r="F5" s="288"/>
      <c r="G5" s="288"/>
      <c r="H5" s="288"/>
      <c r="I5" s="288"/>
      <c r="J5" s="288"/>
      <c r="K5" s="288"/>
      <c r="L5" s="288"/>
      <c r="M5" s="288"/>
      <c r="N5" s="288"/>
      <c r="O5" s="288"/>
      <c r="P5" s="288"/>
      <c r="Q5" s="288"/>
      <c r="R5" s="288"/>
      <c r="S5" s="288"/>
      <c r="T5" s="289"/>
      <c r="U5" s="136"/>
      <c r="V5" s="137"/>
    </row>
    <row r="6" spans="1:22" s="39" customFormat="1" ht="31.35" customHeight="1" x14ac:dyDescent="0.25">
      <c r="A6" s="137"/>
      <c r="B6" s="142"/>
      <c r="C6" s="290" t="s">
        <v>183</v>
      </c>
      <c r="D6" s="291"/>
      <c r="E6" s="291"/>
      <c r="F6" s="291"/>
      <c r="G6" s="291"/>
      <c r="H6" s="291"/>
      <c r="I6" s="291"/>
      <c r="J6" s="291"/>
      <c r="K6" s="291"/>
      <c r="L6" s="291"/>
      <c r="M6" s="291"/>
      <c r="N6" s="291"/>
      <c r="O6" s="291"/>
      <c r="P6" s="291"/>
      <c r="Q6" s="291"/>
      <c r="R6" s="291"/>
      <c r="S6" s="291"/>
      <c r="T6" s="292"/>
      <c r="U6" s="136"/>
      <c r="V6" s="137"/>
    </row>
    <row r="7" spans="1:22" s="39" customFormat="1" ht="40.5" customHeight="1" x14ac:dyDescent="0.25">
      <c r="A7" s="137"/>
      <c r="B7" s="142"/>
      <c r="C7" s="290" t="s">
        <v>151</v>
      </c>
      <c r="D7" s="291"/>
      <c r="E7" s="291"/>
      <c r="F7" s="291"/>
      <c r="G7" s="291"/>
      <c r="H7" s="291"/>
      <c r="I7" s="291"/>
      <c r="J7" s="291"/>
      <c r="K7" s="291"/>
      <c r="L7" s="291"/>
      <c r="M7" s="291"/>
      <c r="N7" s="291"/>
      <c r="O7" s="291"/>
      <c r="P7" s="291"/>
      <c r="Q7" s="291"/>
      <c r="R7" s="291"/>
      <c r="S7" s="291"/>
      <c r="T7" s="292"/>
      <c r="U7" s="136"/>
      <c r="V7" s="137"/>
    </row>
    <row r="8" spans="1:22" ht="40.5" customHeight="1" x14ac:dyDescent="0.2">
      <c r="A8" s="133"/>
      <c r="B8" s="141"/>
      <c r="C8" s="293" t="s">
        <v>370</v>
      </c>
      <c r="D8" s="294"/>
      <c r="E8" s="294"/>
      <c r="F8" s="294"/>
      <c r="G8" s="294"/>
      <c r="H8" s="294"/>
      <c r="I8" s="294"/>
      <c r="J8" s="294"/>
      <c r="K8" s="294"/>
      <c r="L8" s="294"/>
      <c r="M8" s="294"/>
      <c r="N8" s="294"/>
      <c r="O8" s="294"/>
      <c r="P8" s="294"/>
      <c r="Q8" s="294"/>
      <c r="R8" s="294"/>
      <c r="S8" s="294"/>
      <c r="T8" s="295"/>
      <c r="U8" s="135"/>
      <c r="V8" s="133"/>
    </row>
    <row r="9" spans="1:22" ht="15" x14ac:dyDescent="0.2">
      <c r="A9" s="133"/>
      <c r="B9" s="141"/>
      <c r="C9" s="145"/>
      <c r="D9" s="145"/>
      <c r="E9" s="145"/>
      <c r="F9" s="145"/>
      <c r="G9" s="145"/>
      <c r="H9" s="145"/>
      <c r="I9" s="145"/>
      <c r="J9" s="145"/>
      <c r="K9" s="145"/>
      <c r="L9" s="145"/>
      <c r="M9" s="145"/>
      <c r="N9" s="145"/>
      <c r="O9" s="145"/>
      <c r="P9" s="145"/>
      <c r="Q9" s="145"/>
      <c r="R9" s="145"/>
      <c r="S9" s="145"/>
      <c r="T9" s="145"/>
      <c r="U9" s="135"/>
      <c r="V9" s="133"/>
    </row>
    <row r="10" spans="1:22" x14ac:dyDescent="0.2">
      <c r="A10" s="133"/>
      <c r="B10" s="141"/>
      <c r="C10" s="130"/>
      <c r="D10" s="130"/>
      <c r="E10" s="130"/>
      <c r="F10" s="130"/>
      <c r="G10" s="130"/>
      <c r="H10" s="130"/>
      <c r="I10" s="130"/>
      <c r="J10" s="130"/>
      <c r="K10" s="130"/>
      <c r="L10" s="130"/>
      <c r="M10" s="130"/>
      <c r="N10" s="130"/>
      <c r="O10" s="130"/>
      <c r="P10" s="130"/>
      <c r="Q10" s="130"/>
      <c r="R10" s="130"/>
      <c r="S10" s="130"/>
      <c r="T10" s="130"/>
      <c r="U10" s="135"/>
      <c r="V10" s="133"/>
    </row>
    <row r="11" spans="1:22" ht="24.75" customHeight="1" x14ac:dyDescent="0.2">
      <c r="A11" s="133"/>
      <c r="B11" s="141"/>
      <c r="C11" s="285" t="s">
        <v>356</v>
      </c>
      <c r="D11" s="285"/>
      <c r="E11" s="285"/>
      <c r="F11" s="285"/>
      <c r="G11" s="285"/>
      <c r="H11" s="285"/>
      <c r="I11" s="285"/>
      <c r="J11" s="285"/>
      <c r="K11" s="285"/>
      <c r="L11" s="285"/>
      <c r="M11" s="285"/>
      <c r="N11" s="285"/>
      <c r="O11" s="285"/>
      <c r="P11" s="285"/>
      <c r="Q11" s="285"/>
      <c r="R11" s="285"/>
      <c r="S11" s="285"/>
      <c r="T11" s="285"/>
      <c r="U11" s="135"/>
      <c r="V11" s="133"/>
    </row>
    <row r="12" spans="1:22" x14ac:dyDescent="0.2">
      <c r="A12" s="133"/>
      <c r="B12" s="141"/>
      <c r="C12" s="130"/>
      <c r="D12" s="130"/>
      <c r="E12" s="130"/>
      <c r="F12" s="130"/>
      <c r="G12" s="130"/>
      <c r="H12" s="130"/>
      <c r="I12" s="130"/>
      <c r="J12" s="130"/>
      <c r="K12" s="130"/>
      <c r="L12" s="130"/>
      <c r="M12" s="130"/>
      <c r="N12" s="130"/>
      <c r="O12" s="130"/>
      <c r="P12" s="130"/>
      <c r="Q12" s="130"/>
      <c r="R12" s="130"/>
      <c r="S12" s="130"/>
      <c r="T12" s="130"/>
      <c r="U12" s="135"/>
      <c r="V12" s="133"/>
    </row>
    <row r="13" spans="1:22" x14ac:dyDescent="0.2">
      <c r="A13" s="133"/>
      <c r="B13" s="141"/>
      <c r="C13" s="130"/>
      <c r="D13" s="130" t="s">
        <v>357</v>
      </c>
      <c r="E13" s="130"/>
      <c r="F13" s="130"/>
      <c r="G13" s="130"/>
      <c r="H13" s="130"/>
      <c r="I13" s="130"/>
      <c r="J13" s="130"/>
      <c r="K13" s="130"/>
      <c r="L13" s="130"/>
      <c r="M13" s="130"/>
      <c r="N13" s="130"/>
      <c r="O13" s="130"/>
      <c r="P13" s="130"/>
      <c r="Q13" s="130"/>
      <c r="R13" s="130"/>
      <c r="S13" s="130"/>
      <c r="T13" s="130"/>
      <c r="U13" s="135"/>
      <c r="V13" s="133"/>
    </row>
    <row r="14" spans="1:22" ht="203.65" customHeight="1" x14ac:dyDescent="0.2">
      <c r="A14" s="133"/>
      <c r="B14" s="141"/>
      <c r="C14" s="130"/>
      <c r="D14" s="284" t="s">
        <v>359</v>
      </c>
      <c r="E14" s="284"/>
      <c r="F14" s="284"/>
      <c r="G14" s="284"/>
      <c r="H14" s="284"/>
      <c r="I14" s="284"/>
      <c r="J14" s="284"/>
      <c r="K14" s="284"/>
      <c r="L14" s="284"/>
      <c r="M14" s="284"/>
      <c r="N14" s="284"/>
      <c r="O14" s="284"/>
      <c r="P14" s="284"/>
      <c r="Q14" s="284"/>
      <c r="R14" s="284"/>
      <c r="S14" s="284"/>
      <c r="T14" s="130"/>
      <c r="U14" s="135"/>
      <c r="V14" s="133"/>
    </row>
    <row r="15" spans="1:22" ht="408" customHeight="1" x14ac:dyDescent="0.2">
      <c r="A15" s="133"/>
      <c r="B15" s="141"/>
      <c r="C15" s="130"/>
      <c r="D15" s="284" t="s">
        <v>358</v>
      </c>
      <c r="E15" s="284"/>
      <c r="F15" s="284"/>
      <c r="G15" s="284"/>
      <c r="H15" s="284"/>
      <c r="I15" s="284"/>
      <c r="J15" s="284"/>
      <c r="K15" s="284"/>
      <c r="L15" s="284"/>
      <c r="M15" s="284"/>
      <c r="N15" s="284"/>
      <c r="O15" s="284"/>
      <c r="P15" s="284"/>
      <c r="Q15" s="284"/>
      <c r="R15" s="284"/>
      <c r="S15" s="284"/>
      <c r="T15" s="130"/>
      <c r="U15" s="135"/>
      <c r="V15" s="133"/>
    </row>
    <row r="16" spans="1:22" ht="408" customHeight="1" x14ac:dyDescent="0.2">
      <c r="A16" s="133"/>
      <c r="B16" s="141"/>
      <c r="C16" s="130"/>
      <c r="D16" s="284"/>
      <c r="E16" s="284"/>
      <c r="F16" s="284"/>
      <c r="G16" s="284"/>
      <c r="H16" s="284"/>
      <c r="I16" s="284"/>
      <c r="J16" s="284"/>
      <c r="K16" s="284"/>
      <c r="L16" s="284"/>
      <c r="M16" s="284"/>
      <c r="N16" s="284"/>
      <c r="O16" s="284"/>
      <c r="P16" s="284"/>
      <c r="Q16" s="284"/>
      <c r="R16" s="284"/>
      <c r="S16" s="284"/>
      <c r="T16" s="130"/>
      <c r="U16" s="135"/>
      <c r="V16" s="133"/>
    </row>
    <row r="17" spans="1:24" ht="408" customHeight="1" x14ac:dyDescent="0.2">
      <c r="A17" s="133"/>
      <c r="B17" s="141"/>
      <c r="C17" s="130"/>
      <c r="D17" s="284"/>
      <c r="E17" s="284"/>
      <c r="F17" s="284"/>
      <c r="G17" s="284"/>
      <c r="H17" s="284"/>
      <c r="I17" s="284"/>
      <c r="J17" s="284"/>
      <c r="K17" s="284"/>
      <c r="L17" s="284"/>
      <c r="M17" s="284"/>
      <c r="N17" s="284"/>
      <c r="O17" s="284"/>
      <c r="P17" s="284"/>
      <c r="Q17" s="284"/>
      <c r="R17" s="284"/>
      <c r="S17" s="284"/>
      <c r="T17" s="130"/>
      <c r="U17" s="135"/>
      <c r="V17" s="133"/>
    </row>
    <row r="18" spans="1:24" ht="96" customHeight="1" x14ac:dyDescent="0.2">
      <c r="A18" s="133"/>
      <c r="B18" s="141"/>
      <c r="C18" s="130"/>
      <c r="D18" s="284"/>
      <c r="E18" s="284"/>
      <c r="F18" s="284"/>
      <c r="G18" s="284"/>
      <c r="H18" s="284"/>
      <c r="I18" s="284"/>
      <c r="J18" s="284"/>
      <c r="K18" s="284"/>
      <c r="L18" s="284"/>
      <c r="M18" s="284"/>
      <c r="N18" s="284"/>
      <c r="O18" s="284"/>
      <c r="P18" s="284"/>
      <c r="Q18" s="284"/>
      <c r="R18" s="284"/>
      <c r="S18" s="284"/>
      <c r="T18" s="130"/>
      <c r="U18" s="135"/>
      <c r="V18" s="133"/>
    </row>
    <row r="19" spans="1:24" ht="31.5" customHeight="1" x14ac:dyDescent="0.2">
      <c r="A19" s="133"/>
      <c r="B19" s="141"/>
      <c r="C19" s="130"/>
      <c r="D19" s="284"/>
      <c r="E19" s="284"/>
      <c r="F19" s="284"/>
      <c r="G19" s="284"/>
      <c r="H19" s="284"/>
      <c r="I19" s="284"/>
      <c r="J19" s="284"/>
      <c r="K19" s="284"/>
      <c r="L19" s="284"/>
      <c r="M19" s="284"/>
      <c r="N19" s="284"/>
      <c r="O19" s="284"/>
      <c r="P19" s="284"/>
      <c r="Q19" s="284"/>
      <c r="R19" s="284"/>
      <c r="S19" s="284"/>
      <c r="T19" s="130"/>
      <c r="U19" s="135"/>
      <c r="V19" s="133"/>
    </row>
    <row r="20" spans="1:24" ht="15.6" customHeight="1" x14ac:dyDescent="0.2">
      <c r="A20" s="133"/>
      <c r="B20" s="141"/>
      <c r="C20" s="130"/>
      <c r="D20" s="130"/>
      <c r="E20" s="130"/>
      <c r="F20" s="130"/>
      <c r="G20" s="130"/>
      <c r="H20" s="130"/>
      <c r="I20" s="130"/>
      <c r="J20" s="130"/>
      <c r="K20" s="130"/>
      <c r="L20" s="130"/>
      <c r="M20" s="130"/>
      <c r="N20" s="130"/>
      <c r="O20" s="130"/>
      <c r="P20" s="130"/>
      <c r="Q20" s="130"/>
      <c r="R20" s="130"/>
      <c r="S20" s="130"/>
      <c r="T20" s="130"/>
      <c r="U20" s="135"/>
      <c r="V20" s="133"/>
    </row>
    <row r="21" spans="1:24" ht="15.6" customHeight="1" x14ac:dyDescent="0.2">
      <c r="A21" s="133"/>
      <c r="B21" s="141"/>
      <c r="C21" s="130"/>
      <c r="D21" s="130"/>
      <c r="E21" s="130"/>
      <c r="F21" s="130"/>
      <c r="G21" s="130"/>
      <c r="H21" s="130"/>
      <c r="I21" s="130"/>
      <c r="J21" s="130"/>
      <c r="K21" s="130"/>
      <c r="L21" s="130"/>
      <c r="M21" s="130"/>
      <c r="N21" s="130"/>
      <c r="O21" s="130"/>
      <c r="P21" s="130"/>
      <c r="Q21" s="130"/>
      <c r="R21" s="130"/>
      <c r="S21" s="130"/>
      <c r="T21" s="130"/>
      <c r="U21" s="135"/>
      <c r="V21" s="133"/>
    </row>
    <row r="22" spans="1:24" s="17" customFormat="1" ht="15.6" customHeight="1" thickBot="1" x14ac:dyDescent="0.25">
      <c r="A22" s="139"/>
      <c r="B22" s="143"/>
      <c r="C22" s="146"/>
      <c r="D22" s="146"/>
      <c r="E22" s="146"/>
      <c r="F22" s="146"/>
      <c r="G22" s="146"/>
      <c r="H22" s="146"/>
      <c r="I22" s="146"/>
      <c r="J22" s="146"/>
      <c r="K22" s="147"/>
      <c r="L22" s="148"/>
      <c r="M22" s="149"/>
      <c r="N22" s="150"/>
      <c r="O22" s="150"/>
      <c r="P22" s="150"/>
      <c r="Q22" s="150"/>
      <c r="R22" s="150"/>
      <c r="S22" s="150"/>
      <c r="T22" s="150"/>
      <c r="U22" s="138"/>
      <c r="V22" s="139"/>
    </row>
    <row r="23" spans="1:24" ht="39.6" customHeight="1" x14ac:dyDescent="0.2">
      <c r="A23" s="130"/>
      <c r="B23" s="130"/>
      <c r="C23" s="283"/>
      <c r="D23" s="283"/>
      <c r="E23" s="283"/>
      <c r="F23" s="283"/>
      <c r="G23" s="283"/>
      <c r="H23" s="283"/>
      <c r="I23" s="283"/>
      <c r="J23" s="283"/>
      <c r="K23" s="130"/>
      <c r="L23" s="130"/>
      <c r="M23" s="131"/>
      <c r="N23" s="132"/>
      <c r="O23" s="132"/>
      <c r="P23" s="132"/>
      <c r="Q23" s="132"/>
      <c r="R23" s="132"/>
      <c r="S23" s="130"/>
      <c r="T23" s="130"/>
      <c r="U23" s="130"/>
      <c r="V23" s="130"/>
      <c r="W23" s="36"/>
      <c r="X23" s="36"/>
    </row>
    <row r="24" spans="1:24" ht="0" hidden="1" customHeight="1" x14ac:dyDescent="0.2"/>
    <row r="25" spans="1:24" ht="0" hidden="1" customHeight="1" x14ac:dyDescent="0.2"/>
    <row r="26" spans="1:24" ht="0" hidden="1" customHeight="1" x14ac:dyDescent="0.2"/>
  </sheetData>
  <sheetProtection algorithmName="SHA-512" hashValue="8rk5GLcfhdX9ISRdi2GfwyHX4htvoTdJAu6cWT4B8ce4Y3tYhbGqKo+gRX1ptblGW9FBjTIUnjoPJOjlU2fJag==" saltValue="uBQQ3Qqivsp+YWfC43IQMQ==" spinCount="100000" sheet="1" objects="1" scenarios="1"/>
  <mergeCells count="9">
    <mergeCell ref="C23:J23"/>
    <mergeCell ref="D15:S19"/>
    <mergeCell ref="C11:T11"/>
    <mergeCell ref="C3:T3"/>
    <mergeCell ref="C5:T5"/>
    <mergeCell ref="C6:T6"/>
    <mergeCell ref="C7:T7"/>
    <mergeCell ref="C8:T8"/>
    <mergeCell ref="D14:S14"/>
  </mergeCells>
  <dataValidations count="1">
    <dataValidation type="list" allowBlank="1" showInputMessage="1" showErrorMessage="1" sqref="L22">
      <formula1>$W$2:$Y$2</formula1>
    </dataValidation>
  </dataValidations>
  <pageMargins left="0.7" right="0.7" top="0.75" bottom="0.75" header="0.3" footer="0.3"/>
  <pageSetup paperSize="9" orientation="portrait" r:id="rId1"/>
  <customProperties>
    <customPr name="_pios_id" r:id="rId2"/>
  </customProperties>
  <drawing r:id="rId3"/>
  <legacyDrawing r:id="rId4"/>
  <controls>
    <mc:AlternateContent xmlns:mc="http://schemas.openxmlformats.org/markup-compatibility/2006">
      <mc:Choice Requires="x14">
        <control shapeId="2050" r:id="rId5" name="For_Full_Access_1">
          <controlPr defaultSize="0" autoLine="0" r:id="rId6">
            <anchor moveWithCells="1">
              <from>
                <xdr:col>3</xdr:col>
                <xdr:colOff>219075</xdr:colOff>
                <xdr:row>13</xdr:row>
                <xdr:rowOff>1657350</xdr:rowOff>
              </from>
              <to>
                <xdr:col>8</xdr:col>
                <xdr:colOff>171450</xdr:colOff>
                <xdr:row>13</xdr:row>
                <xdr:rowOff>2038350</xdr:rowOff>
              </to>
            </anchor>
          </controlPr>
        </control>
      </mc:Choice>
      <mc:Fallback>
        <control shapeId="2050" r:id="rId5" name="For_Full_Access_1"/>
      </mc:Fallback>
    </mc:AlternateContent>
    <mc:AlternateContent xmlns:mc="http://schemas.openxmlformats.org/markup-compatibility/2006">
      <mc:Choice Requires="x14">
        <control shapeId="2049" r:id="rId7" name="For_Full_Access">
          <controlPr defaultSize="0" autoLine="0" autoPict="0" r:id="rId8">
            <anchor moveWithCells="1">
              <from>
                <xdr:col>3</xdr:col>
                <xdr:colOff>180975</xdr:colOff>
                <xdr:row>17</xdr:row>
                <xdr:rowOff>333375</xdr:rowOff>
              </from>
              <to>
                <xdr:col>7</xdr:col>
                <xdr:colOff>609600</xdr:colOff>
                <xdr:row>17</xdr:row>
                <xdr:rowOff>714375</xdr:rowOff>
              </to>
            </anchor>
          </controlPr>
        </control>
      </mc:Choice>
      <mc:Fallback>
        <control shapeId="2049" r:id="rId7" name="For_Full_Access"/>
      </mc:Fallback>
    </mc:AlternateContent>
  </control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Q94"/>
  <sheetViews>
    <sheetView showGridLines="0" topLeftCell="A13" zoomScale="60" zoomScaleNormal="60" workbookViewId="0">
      <selection activeCell="N30" sqref="N30"/>
    </sheetView>
  </sheetViews>
  <sheetFormatPr defaultColWidth="9" defaultRowHeight="14.25" x14ac:dyDescent="0.2"/>
  <cols>
    <col min="1" max="1" width="76.85546875" style="105" bestFit="1" customWidth="1"/>
    <col min="2" max="2" width="3.85546875" style="105" bestFit="1" customWidth="1"/>
    <col min="3" max="12" width="12.42578125" style="105" customWidth="1"/>
    <col min="13" max="13" width="9" style="105"/>
    <col min="14" max="15" width="10.28515625" style="105" customWidth="1"/>
    <col min="16" max="16" width="9" style="105"/>
    <col min="17" max="17" width="17.140625" style="105" customWidth="1"/>
    <col min="18" max="16384" width="9" style="105"/>
  </cols>
  <sheetData>
    <row r="2" spans="1:10" s="103" customFormat="1" ht="15" x14ac:dyDescent="0.25">
      <c r="A2" s="102" t="s">
        <v>240</v>
      </c>
    </row>
    <row r="4" spans="1:10" s="104" customFormat="1" x14ac:dyDescent="0.2"/>
    <row r="5" spans="1:10" x14ac:dyDescent="0.2">
      <c r="C5" s="163" t="str">
        <f>IF(C30="Primary","P",IF(C30="Secondary with sixth form","SS",IF(C30="Secondary without sixth form","S",IF(C30="Special","SP",IF(C30="Alternative provision","AP",IF(C30="All-through","AT",IF(C30="Nursery","N")))))))</f>
        <v>SS</v>
      </c>
    </row>
    <row r="6" spans="1:10" x14ac:dyDescent="0.2">
      <c r="C6" s="163" t="str">
        <f>C5&amp;
IF($H30="very small","VS",IF($H30="small","S",IF($H30="medium","M",IF($H30="large","L"))))&amp;
IF($I30="low levels of FSM","L",IF($I30="medium levels of FSM","M",IF($I30="high levels of FSM","H")))</f>
        <v>SSML</v>
      </c>
    </row>
    <row r="7" spans="1:10" x14ac:dyDescent="0.2">
      <c r="C7" s="163" t="str">
        <f>C5&amp;
IF(AND(C5="SS",$G30="in London"),"Lo",IF($G30="in London","L",IF($G30="outside London","NL")))</f>
        <v>SSNL</v>
      </c>
    </row>
    <row r="8" spans="1:10" x14ac:dyDescent="0.2">
      <c r="C8" s="163">
        <v>1</v>
      </c>
      <c r="D8" s="163">
        <v>2</v>
      </c>
      <c r="E8" s="163">
        <v>3</v>
      </c>
      <c r="F8" s="163">
        <v>4</v>
      </c>
      <c r="G8" s="163">
        <v>5</v>
      </c>
      <c r="H8" s="163">
        <v>6</v>
      </c>
      <c r="I8" s="163">
        <v>7</v>
      </c>
    </row>
    <row r="9" spans="1:10" x14ac:dyDescent="0.2">
      <c r="A9" s="164" t="s">
        <v>88</v>
      </c>
      <c r="B9" s="163">
        <v>1</v>
      </c>
      <c r="C9" s="106">
        <f ca="1">IF(OR($C$5="P",$C$5="SS",$C$5="S"),INDEX(INDIRECT($C$6),$B9,C$8),
IF(OR($C$5="N",$C$5="AP",$C$5="AT",$C$5="SP"),INDEX(INDIRECT($C$7),$B9,C$8)))</f>
        <v>0.502</v>
      </c>
      <c r="D9" s="106">
        <f t="shared" ref="D9:I9" ca="1" si="0">IF(OR($C$5="P",$C$5="SS",$C$5="S"),INDEX(INDIRECT($C$6),$B9,D$8),
IF(OR($C$5="N",$C$5="AP",$C$5="AT",$C$5="SP"),INDEX(INDIRECT($C$7),$B9,D$8)))</f>
        <v>0.53200000000000003</v>
      </c>
      <c r="E9" s="107">
        <f t="shared" ca="1" si="0"/>
        <v>0.56600000000000006</v>
      </c>
      <c r="F9" s="108">
        <f t="shared" ca="1" si="0"/>
        <v>0.58199999999999996</v>
      </c>
      <c r="G9" s="107">
        <f t="shared" ca="1" si="0"/>
        <v>0.59399999999999997</v>
      </c>
      <c r="H9" s="106">
        <f t="shared" ca="1" si="0"/>
        <v>0.624</v>
      </c>
      <c r="I9" s="106">
        <f t="shared" ca="1" si="0"/>
        <v>0.64</v>
      </c>
      <c r="J9" s="104">
        <v>1</v>
      </c>
    </row>
    <row r="10" spans="1:10" x14ac:dyDescent="0.2">
      <c r="A10" s="165" t="s">
        <v>89</v>
      </c>
      <c r="B10" s="163">
        <v>2</v>
      </c>
      <c r="C10" s="108"/>
      <c r="D10" s="108"/>
      <c r="E10" s="107">
        <f t="shared" ref="E10:I11" ca="1" si="1">IF(OR($C$5="P",$C$5="SS",$C$5="S"),INDEX(INDIRECT($C$6),$B10,E$8),
IF(OR($C$5="N",$C$5="AP",$C$5="AT",$C$5="SP"),INDEX(INDIRECT($C$7),$B10,E$8)))</f>
        <v>7.0000000000000001E-3</v>
      </c>
      <c r="F10" s="108">
        <f t="shared" ca="1" si="1"/>
        <v>0.01</v>
      </c>
      <c r="G10" s="107">
        <f t="shared" ca="1" si="1"/>
        <v>1.2E-2</v>
      </c>
      <c r="H10" s="106">
        <f t="shared" ca="1" si="1"/>
        <v>1.9E-2</v>
      </c>
      <c r="I10" s="106">
        <f t="shared" ca="1" si="1"/>
        <v>2.6000000000000002E-2</v>
      </c>
      <c r="J10" s="104">
        <v>2</v>
      </c>
    </row>
    <row r="11" spans="1:10" x14ac:dyDescent="0.2">
      <c r="A11" s="165" t="s">
        <v>90</v>
      </c>
      <c r="B11" s="163">
        <v>3</v>
      </c>
      <c r="C11" s="108"/>
      <c r="D11" s="108"/>
      <c r="E11" s="107">
        <f t="shared" ca="1" si="1"/>
        <v>6.4000000000000001E-2</v>
      </c>
      <c r="F11" s="108">
        <f t="shared" ca="1" si="1"/>
        <v>7.0000000000000007E-2</v>
      </c>
      <c r="G11" s="107">
        <f t="shared" ca="1" si="1"/>
        <v>7.9000000000000001E-2</v>
      </c>
      <c r="H11" s="106">
        <f t="shared" ca="1" si="1"/>
        <v>9.7000000000000003E-2</v>
      </c>
      <c r="I11" s="106">
        <f t="shared" ca="1" si="1"/>
        <v>0.114</v>
      </c>
      <c r="J11" s="104">
        <v>3</v>
      </c>
    </row>
    <row r="12" spans="1:10" x14ac:dyDescent="0.2">
      <c r="A12" s="165" t="s">
        <v>91</v>
      </c>
      <c r="B12" s="163">
        <v>4</v>
      </c>
      <c r="C12" s="108"/>
      <c r="D12" s="108"/>
      <c r="E12" s="108"/>
      <c r="F12" s="108">
        <f t="shared" ref="F12:F19" ca="1" si="2">IF(OR($C$5="P",$C$5="SS",$C$5="S"),INDEX(INDIRECT($C$6),$B12,F$8),
IF(OR($C$5="N",$C$5="AP",$C$5="AT",$C$5="SP"),INDEX(INDIRECT($C$7),$B12,F$8)))</f>
        <v>6.9000000000000006E-2</v>
      </c>
      <c r="G12" s="108"/>
      <c r="H12" s="106">
        <f ca="1">IF(OR($C$5="P",$C$5="SS",$C$5="S"),INDEX(INDIRECT($C$6),$B12,H$8),
IF(OR($C$5="N",$C$5="AP",$C$5="AT",$C$5="SP"),INDEX(INDIRECT($C$7),$B12,H$8)))</f>
        <v>9.0999999999999998E-2</v>
      </c>
      <c r="I12" s="106">
        <f ca="1">IF(OR($C$5="P",$C$5="SS",$C$5="S"),INDEX(INDIRECT($C$6),$B12,I$8),
IF(OR($C$5="N",$C$5="AP",$C$5="AT",$C$5="SP"),INDEX(INDIRECT($C$7),$B12,I$8)))</f>
        <v>0.105</v>
      </c>
      <c r="J12" s="104">
        <v>4</v>
      </c>
    </row>
    <row r="13" spans="1:10" x14ac:dyDescent="0.2">
      <c r="A13" s="165" t="s">
        <v>92</v>
      </c>
      <c r="B13" s="163">
        <v>5</v>
      </c>
      <c r="C13" s="108"/>
      <c r="D13" s="108"/>
      <c r="E13" s="108"/>
      <c r="F13" s="108">
        <f t="shared" ca="1" si="2"/>
        <v>1.4999999999999999E-2</v>
      </c>
      <c r="G13" s="108"/>
      <c r="H13" s="106">
        <f ca="1">IF(OR($C$5="P",$C$5="SS",$C$5="S"),INDEX(INDIRECT($C$6),$B13,H$8),
IF(OR($C$5="N",$C$5="AP",$C$5="AT",$C$5="SP"),INDEX(INDIRECT($C$7),$B13,H$8)))</f>
        <v>3.4000000000000002E-2</v>
      </c>
      <c r="I13" s="106">
        <f ca="1">IF(OR($C$5="P",$C$5="SS",$C$5="S"),INDEX(INDIRECT($C$6),$B13,I$8),
IF(OR($C$5="N",$C$5="AP",$C$5="AT",$C$5="SP"),INDEX(INDIRECT($C$7),$B13,I$8)))</f>
        <v>5.7000000000000002E-2</v>
      </c>
      <c r="J13" s="104">
        <v>5</v>
      </c>
    </row>
    <row r="14" spans="1:10" x14ac:dyDescent="0.2">
      <c r="A14" s="165" t="s">
        <v>93</v>
      </c>
      <c r="B14" s="163">
        <v>6</v>
      </c>
      <c r="C14" s="108"/>
      <c r="D14" s="108"/>
      <c r="E14" s="108"/>
      <c r="F14" s="108">
        <f t="shared" ca="1" si="2"/>
        <v>5.5E-2</v>
      </c>
      <c r="G14" s="108"/>
      <c r="H14" s="106">
        <f t="shared" ref="H14:I19" ca="1" si="3">IF(OR($C$5="P",$C$5="SS",$C$5="S"),INDEX(INDIRECT($C$6),$B14,H$8),
IF(OR($C$5="N",$C$5="AP",$C$5="AT",$C$5="SP"),INDEX(INDIRECT($C$7),$B14,H$8)))</f>
        <v>7.5999999999999998E-2</v>
      </c>
      <c r="I14" s="106">
        <f t="shared" ca="1" si="3"/>
        <v>9.5000000000000001E-2</v>
      </c>
      <c r="J14" s="104">
        <v>6</v>
      </c>
    </row>
    <row r="15" spans="1:10" x14ac:dyDescent="0.2">
      <c r="A15" s="165" t="s">
        <v>94</v>
      </c>
      <c r="B15" s="163">
        <v>7</v>
      </c>
      <c r="C15" s="106">
        <f ca="1">IF(OR($C$5="P",$C$5="SS",$C$5="S"),INDEX(INDIRECT($C$6),$B15,C$8),
IF(OR($C$5="N",$C$5="AP",$C$5="AT",$C$5="SP"),INDEX(INDIRECT($C$7),$B15,C$8)))</f>
        <v>4.8000000000000001E-2</v>
      </c>
      <c r="D15" s="106">
        <f ca="1">IF(OR($C$5="P",$C$5="SS",$C$5="S"),INDEX(INDIRECT($C$6),$B15,D$8),
IF(OR($C$5="N",$C$5="AP",$C$5="AT",$C$5="SP"),INDEX(INDIRECT($C$7),$B15,D$8)))</f>
        <v>5.8000000000000003E-2</v>
      </c>
      <c r="E15" s="107">
        <f ca="1">IF(OR($C$5="P",$C$5="SS",$C$5="S"),INDEX(INDIRECT($C$6),$B15,E$8),
IF(OR($C$5="N",$C$5="AP",$C$5="AT",$C$5="SP"),INDEX(INDIRECT($C$7),$B15,E$8)))</f>
        <v>7.9000000000000001E-2</v>
      </c>
      <c r="F15" s="108">
        <f ca="1">IF(OR($C$5="P",$C$5="SS",$C$5="S"),INDEX(INDIRECT($C$6),$B15,F$8),
IF(OR($C$5="N",$C$5="AP",$C$5="AT",$C$5="SP"),INDEX(INDIRECT($C$7),$B15,F$8)))</f>
        <v>8.7000000000000008E-2</v>
      </c>
      <c r="G15" s="107">
        <f ca="1">IF(OR($C$5="P",$C$5="SS",$C$5="S"),INDEX(INDIRECT($C$6),$B15,G$8),
IF(OR($C$5="N",$C$5="AP",$C$5="AT",$C$5="SP"),INDEX(INDIRECT($C$7),$B15,G$8)))</f>
        <v>9.5000000000000001E-2</v>
      </c>
      <c r="H15" s="108"/>
      <c r="I15" s="108"/>
      <c r="J15" s="104">
        <v>7</v>
      </c>
    </row>
    <row r="16" spans="1:10" x14ac:dyDescent="0.2">
      <c r="A16" s="165" t="s">
        <v>95</v>
      </c>
      <c r="B16" s="163">
        <v>8</v>
      </c>
      <c r="C16" s="108"/>
      <c r="D16" s="108"/>
      <c r="E16" s="108"/>
      <c r="F16" s="108">
        <f t="shared" ca="1" si="2"/>
        <v>1.4999999999999999E-2</v>
      </c>
      <c r="G16" s="108"/>
      <c r="H16" s="106">
        <f t="shared" ca="1" si="3"/>
        <v>1.9E-2</v>
      </c>
      <c r="I16" s="106">
        <f t="shared" ca="1" si="3"/>
        <v>2.1000000000000001E-2</v>
      </c>
      <c r="J16" s="104">
        <v>8</v>
      </c>
    </row>
    <row r="17" spans="1:17" x14ac:dyDescent="0.2">
      <c r="A17" s="165" t="s">
        <v>33</v>
      </c>
      <c r="B17" s="163">
        <v>9</v>
      </c>
      <c r="C17" s="108"/>
      <c r="D17" s="108"/>
      <c r="E17" s="107">
        <f ca="1">IF(OR($C$5="P",$C$5="SS",$C$5="S"),INDEX(INDIRECT($C$6),$B17,E$8),
IF(OR($C$5="N",$C$5="AP",$C$5="AT",$C$5="SP"),INDEX(INDIRECT($C$7),$B17,E$8)))</f>
        <v>5.6000000000000001E-2</v>
      </c>
      <c r="F17" s="108">
        <f t="shared" ca="1" si="2"/>
        <v>5.9000000000000004E-2</v>
      </c>
      <c r="G17" s="107">
        <f ca="1">IF(OR($C$5="P",$C$5="SS",$C$5="S"),INDEX(INDIRECT($C$6),$B17,G$8),
IF(OR($C$5="N",$C$5="AP",$C$5="AT",$C$5="SP"),INDEX(INDIRECT($C$7),$B17,G$8)))</f>
        <v>6.2E-2</v>
      </c>
      <c r="H17" s="106">
        <f t="shared" ca="1" si="3"/>
        <v>7.2999999999999995E-2</v>
      </c>
      <c r="I17" s="106">
        <f t="shared" ca="1" si="3"/>
        <v>8.7999999999999995E-2</v>
      </c>
      <c r="J17" s="104">
        <v>9</v>
      </c>
    </row>
    <row r="18" spans="1:17" x14ac:dyDescent="0.2">
      <c r="A18" s="165" t="s">
        <v>4</v>
      </c>
      <c r="B18" s="163">
        <v>10</v>
      </c>
      <c r="C18" s="109">
        <f ca="1">IF(OR($C$5="P",$C$5="SS",$C$5="S"),INDEX(INDIRECT($C$6),$B18,C$8),
IF(OR($C$5="N",$C$5="AP",$C$5="AT",$C$5="SP"),INDEX(INDIRECT($C$7),$B18,C$8)))</f>
        <v>15.5</v>
      </c>
      <c r="D18" s="109">
        <f ca="1">IF(OR($C$5="P",$C$5="SS",$C$5="S"),INDEX(INDIRECT($C$6),$B18,D$8),
IF(OR($C$5="N",$C$5="AP",$C$5="AT",$C$5="SP"),INDEX(INDIRECT($C$7),$B18,D$8)))</f>
        <v>16.100000000000001</v>
      </c>
      <c r="E18" s="110">
        <f ca="1">IF(OR($C$5="P",$C$5="SS",$C$5="S"),INDEX(INDIRECT($C$6),$B18,E$8),
IF(OR($C$5="N",$C$5="AP",$C$5="AT",$C$5="SP"),INDEX(INDIRECT($C$7),$B18,E$8)))</f>
        <v>16.900000000000002</v>
      </c>
      <c r="F18" s="111">
        <f t="shared" ca="1" si="2"/>
        <v>17.3</v>
      </c>
      <c r="G18" s="110">
        <f ca="1">IF(OR($C$5="P",$C$5="SS",$C$5="S"),INDEX(INDIRECT($C$6),$B18,G$8),
IF(OR($C$5="N",$C$5="AP",$C$5="AT",$C$5="SP"),INDEX(INDIRECT($C$7),$B18,G$8)))</f>
        <v>17.600000000000001</v>
      </c>
      <c r="H18" s="109">
        <f t="shared" ca="1" si="3"/>
        <v>18.5</v>
      </c>
      <c r="I18" s="109">
        <f t="shared" ca="1" si="3"/>
        <v>19.3</v>
      </c>
      <c r="J18" s="104">
        <v>10</v>
      </c>
    </row>
    <row r="19" spans="1:17" x14ac:dyDescent="0.2">
      <c r="A19" s="165" t="s">
        <v>14</v>
      </c>
      <c r="B19" s="163">
        <v>11</v>
      </c>
      <c r="C19" s="109">
        <f ca="1">IF(OR($C$5="P",$C$5="SS",$C$5="S"),INDEX(INDIRECT($C$6),$B19,C$8),
IF(OR($C$5="N",$C$5="AP",$C$5="AT",$C$5="SP"),INDEX(INDIRECT($C$7),$B19,C$8)))</f>
        <v>9.3000000000000007</v>
      </c>
      <c r="D19" s="109">
        <f ca="1">IF(OR($C$5="P",$C$5="SS",$C$5="S"),INDEX(INDIRECT($C$6),$B19,D$8),
IF(OR($C$5="N",$C$5="AP",$C$5="AT",$C$5="SP"),INDEX(INDIRECT($C$7),$B19,D$8)))</f>
        <v>9.9</v>
      </c>
      <c r="E19" s="110">
        <f ca="1">IF(OR($C$5="P",$C$5="SS",$C$5="S"),INDEX(INDIRECT($C$6),$B19,E$8),
IF(OR($C$5="N",$C$5="AP",$C$5="AT",$C$5="SP"),INDEX(INDIRECT($C$7),$B19,E$8)))</f>
        <v>10.4</v>
      </c>
      <c r="F19" s="111">
        <f t="shared" ca="1" si="2"/>
        <v>10.8</v>
      </c>
      <c r="G19" s="110">
        <f ca="1">IF(OR($C$5="P",$C$5="SS",$C$5="S"),INDEX(INDIRECT($C$6),$B19,G$8),
IF(OR($C$5="N",$C$5="AP",$C$5="AT",$C$5="SP"),INDEX(INDIRECT($C$7),$B19,G$8)))</f>
        <v>11.100000000000001</v>
      </c>
      <c r="H19" s="109">
        <f t="shared" ca="1" si="3"/>
        <v>11.8</v>
      </c>
      <c r="I19" s="109">
        <f t="shared" ca="1" si="3"/>
        <v>12.5</v>
      </c>
      <c r="J19" s="104">
        <v>11</v>
      </c>
    </row>
    <row r="20" spans="1:17" x14ac:dyDescent="0.2">
      <c r="A20" s="165" t="s">
        <v>0</v>
      </c>
      <c r="B20" s="163">
        <v>12</v>
      </c>
      <c r="C20" s="109">
        <f t="shared" ref="C20:I20" ca="1" si="4">IF(OR($C$5="P",$C$5="SS",$C$5="S"),INDEX(INDIRECT($C$6),$B20,C$8),
IF(OR($C$5="N",$C$5="AP",$C$5="SP"),"",IF($C$5="AT",INDEX(INDIRECT($C$7),$B20,C$8))))</f>
        <v>19.700000000000003</v>
      </c>
      <c r="D20" s="109">
        <f t="shared" ca="1" si="4"/>
        <v>20.3</v>
      </c>
      <c r="E20" s="110">
        <f t="shared" ca="1" si="4"/>
        <v>21.200000000000003</v>
      </c>
      <c r="F20" s="111">
        <f t="shared" ca="1" si="4"/>
        <v>21.6</v>
      </c>
      <c r="G20" s="110">
        <f t="shared" ca="1" si="4"/>
        <v>22</v>
      </c>
      <c r="H20" s="109">
        <f t="shared" ca="1" si="4"/>
        <v>22.900000000000002</v>
      </c>
      <c r="I20" s="109">
        <f t="shared" ca="1" si="4"/>
        <v>23.700000000000003</v>
      </c>
      <c r="J20" s="104">
        <v>12</v>
      </c>
    </row>
    <row r="21" spans="1:17" x14ac:dyDescent="0.2">
      <c r="A21" s="166" t="s">
        <v>231</v>
      </c>
      <c r="B21" s="163">
        <v>13</v>
      </c>
      <c r="C21" s="112">
        <f ca="1">IF(OR($C$5="P",$C$5="SS",$C$5="S"),INDEX(INDIRECT($C$7),1,C$8),
IF(OR($C$5="N",$C$5="AP",$C$5="SP"),INDEX(INDIRECT($C$7),$B20,C$8),
IF($C$5="AT",INDEX(INDIRECT($C$7),$B21,C$8))))</f>
        <v>49281</v>
      </c>
      <c r="D21" s="112">
        <f t="shared" ref="D21:I21" ca="1" si="5">IF(OR($C$5="P",$C$5="SS",$C$5="S"),INDEX(INDIRECT($C$7),1,D$8),
IF(OR($C$5="N",$C$5="AP",$C$5="SP"),INDEX(INDIRECT($C$7),$B20,D$8),
IF($C$5="AT",INDEX(INDIRECT($C$7),$B21,D$8))))</f>
        <v>51735</v>
      </c>
      <c r="E21" s="112">
        <f t="shared" ca="1" si="5"/>
        <v>54105</v>
      </c>
      <c r="F21" s="113">
        <f t="shared" ca="1" si="5"/>
        <v>55075</v>
      </c>
      <c r="G21" s="112">
        <f t="shared" ca="1" si="5"/>
        <v>56178</v>
      </c>
      <c r="H21" s="112">
        <f t="shared" ca="1" si="5"/>
        <v>59004</v>
      </c>
      <c r="I21" s="112">
        <f t="shared" ca="1" si="5"/>
        <v>61846</v>
      </c>
      <c r="J21" s="104">
        <v>13</v>
      </c>
    </row>
    <row r="26" spans="1:17" s="102" customFormat="1" ht="15" x14ac:dyDescent="0.25">
      <c r="A26" s="102" t="s">
        <v>241</v>
      </c>
    </row>
    <row r="28" spans="1:17" ht="20.65" customHeight="1" x14ac:dyDescent="0.2">
      <c r="C28" s="401" t="s">
        <v>239</v>
      </c>
      <c r="D28" s="402"/>
      <c r="E28" s="402"/>
      <c r="F28" s="403"/>
      <c r="G28" s="401" t="s">
        <v>243</v>
      </c>
      <c r="H28" s="402"/>
      <c r="I28" s="402"/>
      <c r="J28" s="402"/>
      <c r="K28" s="402"/>
      <c r="L28" s="403"/>
      <c r="N28" s="401" t="s">
        <v>360</v>
      </c>
      <c r="O28" s="403"/>
    </row>
    <row r="29" spans="1:17" ht="18" customHeight="1" x14ac:dyDescent="0.2">
      <c r="C29" s="157" t="s">
        <v>15</v>
      </c>
      <c r="D29" s="157" t="s">
        <v>325</v>
      </c>
      <c r="E29" s="157" t="s">
        <v>326</v>
      </c>
      <c r="F29" s="157" t="s">
        <v>19</v>
      </c>
      <c r="G29" s="157"/>
      <c r="H29" s="158"/>
      <c r="I29" s="159"/>
      <c r="J29" s="159"/>
      <c r="K29" s="159"/>
      <c r="L29" s="159"/>
      <c r="N29" s="159">
        <v>1</v>
      </c>
      <c r="O29" s="159">
        <v>2</v>
      </c>
      <c r="Q29" s="159" t="s">
        <v>366</v>
      </c>
    </row>
    <row r="30" spans="1:17" x14ac:dyDescent="0.2">
      <c r="C30" s="155" t="s">
        <v>114</v>
      </c>
      <c r="D30" s="155">
        <v>1343</v>
      </c>
      <c r="E30" s="155" t="s">
        <v>438</v>
      </c>
      <c r="F30" s="155">
        <v>5.9000000000000004E-2</v>
      </c>
      <c r="G30" s="156" t="str">
        <f>IF(E30="","",IF(OR(E30="Inner London",E30="Outer London"),"in London","outside London"))</f>
        <v>outside London</v>
      </c>
      <c r="H30" s="156" t="str">
        <f>IF(AND(C30="Primary",D30&lt;=$C$33),"very small",IF(AND(C30="Primary",D30&lt;=$D$33,D30&gt;$C$33),"small",IF(AND(C30="Primary",D30&gt;$D$33,D30&lt;=$E$33),"medium",IF(AND(C30="Primary",D30&gt;$E$33),"large",
IF(AND(C30="Secondary with sixth form",D30&lt;=$D$34),"small",IF(AND(C30="Secondary with sixth form",D30&gt;$D$34,D30&lt;=$E$34),"medium",IF(AND(C30="Secondary with sixth form",D30&gt;$E$34),"large",
IF(AND(C30="Secondary without sixth form",D30&lt;=$D$35),"small",IF(AND(C30="Secondary without sixth form",D30&gt;$D$35,D30&lt;=$E$35),"medium",IF(AND(C30="Secondary without sixth form",D30&gt;$E$35),"large",""))))))))))</f>
        <v>medium</v>
      </c>
      <c r="I30" s="156" t="str">
        <f>IF(AND(C30="Primary",F30&lt;=$C$38),"low levels of FSM",IF(AND(C30="Primary",F30&gt;$C$38,F30&lt;=$D$38),"medium levels of FSM",IF(AND(C30="Primary",F30&gt;$D$38),"high levels of FSM",
IF(AND(C30="Secondary with sixth form",F30&lt;=$C$39),"low levels of FSM",IF(AND(C30="Secondary with sixth form",F30&gt;$C$39,F30&lt;=$D$39),"medium levels of FSM",IF(AND(C30="Secondary with sixth form",F30&gt;$D$39),"high levels of FSM",
IF(AND(C30="Secondary without sixth form",F30&lt;=$C$40),"low levels of FSM",IF(AND(C30="Secondary without sixth form",F30&gt;$C$40,F30&lt;=$D$40),"medium levels of FSM",IF(AND(C30="Secondary without sixth form",F30&gt;$D$40),"high levels of FSM","")))))))))</f>
        <v>low levels of FSM</v>
      </c>
      <c r="J30" s="156" t="str">
        <f>IF(C30="Primary","a primary school",IF(C30="Secondary with sixth form","a secondary school with a sixth form",IF(C30="Secondary without sixth form","a secondary school without a sixth form",IF(C30="Special","a special school",IF(C30="Alternative provision","an alternative provision school",IF(C30="All-through","an all-through school",IF(C30="Nursery","a nursery school","")))))))</f>
        <v>a secondary school with a sixth form</v>
      </c>
      <c r="K30" s="156" t="str">
        <f>IF(AND(C30="Primary",H30="very small"),$C$33&amp;" or fewer pupils",
IF(AND(C30="Primary",H30="small"),"between "&amp;$C$33+1&amp;" and "&amp;$D$33&amp;" pupils",
IF(AND(C30="Primary",H30="medium"),"between "&amp;$D$33+1&amp;" and "&amp;$E$33&amp;" pupils",
IF(AND(C30="Primary",H30="large"),"more than "&amp;$E$33&amp;" pupils",
IF(AND(C30="Secondary with sixth form",H30="small"),$D$34&amp;" or fewer pupils",
IF(AND(C30="Secondary with sixth form",H30="medium"),"between "&amp;$D$34+1&amp;" and "&amp;$E$34&amp;" pupils",
IF(AND(C30="Secondary with sixth form",H30="large"),"more than "&amp;$E$34&amp;" pupils",
IF(AND(C30="Secondary without sixth form",H30="small"),$D$35&amp;" or fewer pupils",
IF(AND(C30="Secondary without sixth form",H30="medium"),"between "&amp;$D$35+1&amp;" and "&amp;$E$35&amp;" pupils",
IF(AND(C30="Secondary without sixth form",H30="large"),"more than "&amp;$E$35&amp;" pupils",""))))))))))</f>
        <v>between 840 and 1348 pupils</v>
      </c>
      <c r="L30" s="156" t="str">
        <f>IF(AND(C30="Primary",I30="low levels of FSM"),"less than "&amp;$E$38&amp;" of pupils",
IF(AND(C30="Primary",I30="medium levels of FSM"),"between "&amp;$E$38&amp;" and "&amp;$F$38&amp;" of pupils",
IF(AND(C30="Primary",I30="high levels of FSM"),"more than "&amp;$F$38&amp;" of pupils",
IF(AND(C30="Secondary with sixth form",I30="low levels of FSM"),"less than "&amp;$E$39&amp;" of pupils",
IF(AND(C30="Secondary with sixth form",I30="medium levels of FSM"),"between "&amp;$E$39&amp;" and "&amp;$F$39&amp;" of pupils",
IF(AND(C30="Secondary with sixth form",I30="high levels of FSM"),"more than "&amp;$F$39&amp;" of pupils",
IF(AND(C30="Secondary without sixth form",I30="low levels of FSM"),"less than "&amp;$E$40&amp;" of pupils",
IF(AND(C30="Secondary without sixth form",I30="medium levels of FSM"),"between "&amp;$E$40&amp;" and "&amp;$F$40&amp;" of pupils",
IF(AND(C30="Secondary without sixth form",I30="high levels of FSM"),"more than "&amp;$F$40&amp;" of pupils","")))))))))</f>
        <v>less than 6.3% of pupils</v>
      </c>
      <c r="N30" s="156" t="str">
        <f>IF(OR(C30="Primary",C30="Secondary with sixth form",C30="Secondary without sixth form"),LOWER("- a "&amp;H30&amp;" "&amp;C30&amp;" with ")&amp;I30,"- "&amp;LOWER(C30)&amp;" schools")</f>
        <v>- a medium secondary with sixth form with low levels of FSM</v>
      </c>
      <c r="O30" s="156" t="str">
        <f>LOWER("- "&amp;J30&amp;" ")&amp;G30&amp;"(for average teacher cost only)"</f>
        <v>- a secondary school with a sixth form outside London(for average teacher cost only)</v>
      </c>
      <c r="Q30" s="156">
        <f>IF(OR(C30="All-through",C30="Special",C30="Alternative provision",C30="Nursery"),1,0)</f>
        <v>0</v>
      </c>
    </row>
    <row r="32" spans="1:17" x14ac:dyDescent="0.2">
      <c r="A32" s="114"/>
      <c r="C32" s="114" t="s">
        <v>119</v>
      </c>
      <c r="D32" s="114" t="s">
        <v>121</v>
      </c>
      <c r="E32" s="114" t="s">
        <v>122</v>
      </c>
    </row>
    <row r="33" spans="1:16" x14ac:dyDescent="0.2">
      <c r="A33" s="114" t="s">
        <v>20</v>
      </c>
      <c r="C33" s="114">
        <v>100</v>
      </c>
      <c r="D33" s="114">
        <v>173</v>
      </c>
      <c r="E33" s="114">
        <v>389</v>
      </c>
    </row>
    <row r="34" spans="1:16" x14ac:dyDescent="0.2">
      <c r="A34" s="114" t="s">
        <v>114</v>
      </c>
      <c r="C34" s="114"/>
      <c r="D34" s="114">
        <v>839</v>
      </c>
      <c r="E34" s="114">
        <v>1348</v>
      </c>
    </row>
    <row r="35" spans="1:16" x14ac:dyDescent="0.2">
      <c r="A35" s="114" t="s">
        <v>115</v>
      </c>
      <c r="C35" s="114"/>
      <c r="D35" s="114">
        <v>570</v>
      </c>
      <c r="E35" s="114">
        <v>980</v>
      </c>
      <c r="O35" s="115"/>
      <c r="P35" s="115"/>
    </row>
    <row r="37" spans="1:16" x14ac:dyDescent="0.2">
      <c r="A37" s="114"/>
      <c r="C37" s="114" t="s">
        <v>244</v>
      </c>
      <c r="D37" s="114" t="s">
        <v>122</v>
      </c>
      <c r="E37" s="114" t="s">
        <v>244</v>
      </c>
      <c r="F37" s="114" t="s">
        <v>122</v>
      </c>
    </row>
    <row r="38" spans="1:16" x14ac:dyDescent="0.2">
      <c r="A38" s="114" t="s">
        <v>20</v>
      </c>
      <c r="C38" s="114">
        <v>6.2E-2</v>
      </c>
      <c r="D38" s="114">
        <v>0.20799999999999999</v>
      </c>
      <c r="E38" s="127" t="str">
        <f t="shared" ref="E38:F40" si="6">(C38*100)&amp;"%"</f>
        <v>6.2%</v>
      </c>
      <c r="F38" s="127" t="str">
        <f t="shared" si="6"/>
        <v>20.8%</v>
      </c>
    </row>
    <row r="39" spans="1:16" x14ac:dyDescent="0.2">
      <c r="A39" s="114" t="s">
        <v>114</v>
      </c>
      <c r="C39" s="114">
        <v>6.3E-2</v>
      </c>
      <c r="D39" s="114">
        <v>0.17599999999999999</v>
      </c>
      <c r="E39" s="127" t="str">
        <f t="shared" si="6"/>
        <v>6.3%</v>
      </c>
      <c r="F39" s="127" t="str">
        <f t="shared" si="6"/>
        <v>17.6%</v>
      </c>
    </row>
    <row r="40" spans="1:16" x14ac:dyDescent="0.2">
      <c r="A40" s="114" t="s">
        <v>115</v>
      </c>
      <c r="C40" s="114">
        <v>9.6000000000000002E-2</v>
      </c>
      <c r="D40" s="114">
        <v>0.23300000000000001</v>
      </c>
      <c r="E40" s="127" t="str">
        <f t="shared" si="6"/>
        <v>9.6%</v>
      </c>
      <c r="F40" s="127" t="str">
        <f t="shared" si="6"/>
        <v>23.3%</v>
      </c>
    </row>
    <row r="45" spans="1:16" s="176" customFormat="1" ht="15" x14ac:dyDescent="0.25">
      <c r="A45" s="102" t="s">
        <v>327</v>
      </c>
      <c r="B45" s="102"/>
      <c r="C45" s="102"/>
      <c r="D45" s="102"/>
      <c r="E45" s="102"/>
      <c r="F45" s="102"/>
      <c r="G45" s="102"/>
      <c r="H45" s="102"/>
      <c r="I45" s="102"/>
      <c r="J45" s="102"/>
      <c r="K45" s="102"/>
      <c r="L45" s="102"/>
      <c r="M45" s="102"/>
      <c r="N45" s="102"/>
      <c r="O45" s="102"/>
      <c r="P45" s="102"/>
    </row>
    <row r="48" spans="1:16" ht="15" x14ac:dyDescent="0.25">
      <c r="A48" s="161" t="s">
        <v>328</v>
      </c>
      <c r="C48" s="162" t="s">
        <v>329</v>
      </c>
      <c r="D48" s="162" t="s">
        <v>330</v>
      </c>
      <c r="F48" s="160" t="s">
        <v>331</v>
      </c>
    </row>
    <row r="49" spans="1:6" ht="60" x14ac:dyDescent="0.2">
      <c r="A49" s="164" t="s">
        <v>88</v>
      </c>
      <c r="C49" s="169">
        <v>0.59417344173441733</v>
      </c>
      <c r="D49" s="168" t="str">
        <f ca="1">IF(F49="Not Ready","",
IF(C49&lt;=RAG_Calculation!C9,Lowest10,
IF(AND(C49&gt;RAG_Calculation!C9,C49&lt;=RAG_Calculation!D9),Lowest20,
IF(AND(C49&gt;RAG_Calculation!D9,C49&lt;=RAG_Calculation!E9),Inline,
IF(AND(C49&gt;RAG_Calculation!E9,C49&lt;=RAG_Calculation!G9),Middle20,
IF(AND(C49&gt;RAG_Calculation!G9,C49&lt;=RAG_Calculation!H9),Inline,
IF(AND(C49&gt;RAG_Calculation!H9,C49&lt;=RAG_Calculation!I9),Highest20,
IF(C49&gt;RAG_Calculation!I9,Highest10,""))))))))</f>
        <v>Broadly in line with similar schools</v>
      </c>
      <c r="F49" s="156" t="str">
        <f>IF(OR(C30="",D30="",E30="",F30=""),"Not Ready","Ready")</f>
        <v>Ready</v>
      </c>
    </row>
    <row r="50" spans="1:6" ht="60" x14ac:dyDescent="0.2">
      <c r="A50" s="165" t="s">
        <v>89</v>
      </c>
      <c r="C50" s="169">
        <v>4.7425474254742545E-3</v>
      </c>
      <c r="D50" s="168" t="str">
        <f ca="1">IF(F49="Not Ready","",
IF(C50&lt;=RAG_Calculation!E10,Inline,
IF(AND(C50&gt;RAG_Calculation!E10,C50&lt;=RAG_Calculation!G10),Middle20,
IF(AND(C50&gt;RAG_Calculation!G10,C50&lt;=RAG_Calculation!H10),Inline,
IF(AND(C50&gt;RAG_Calculation!H10,C50&lt;=RAG_Calculation!I10),Highest20,
IF(C50&gt;RAG_Calculation!I10,Highest10,""))))))</f>
        <v>Broadly in line with similar schools</v>
      </c>
    </row>
    <row r="51" spans="1:6" ht="60" x14ac:dyDescent="0.2">
      <c r="A51" s="165" t="s">
        <v>90</v>
      </c>
      <c r="C51" s="169">
        <v>0.12127371273712736</v>
      </c>
      <c r="D51" s="168" t="str">
        <f ca="1">IF(F49="Not Ready","",
IF(C51&lt;=RAG_Calculation!E11,Inline,
IF(AND(C51&gt;RAG_Calculation!E11,C51&lt;=RAG_Calculation!G11),Middle20,
IF(AND(C51&gt;RAG_Calculation!G11,C51&lt;=RAG_Calculation!H11),Inline,
IF(AND(C51&gt;RAG_Calculation!H11,C51&lt;=RAG_Calculation!I11),Highest20,
IF(C51&gt;RAG_Calculation!I11,Highest10,""))))))</f>
        <v>Highest 10% of similar schools</v>
      </c>
    </row>
    <row r="52" spans="1:6" ht="60" x14ac:dyDescent="0.2">
      <c r="A52" s="165" t="s">
        <v>91</v>
      </c>
      <c r="C52" s="169">
        <v>8.2791327913279131E-2</v>
      </c>
      <c r="D52" s="168" t="str">
        <f ca="1">IF(F49="Not Ready","",
IF(C52&lt;=RAG_Calculation!H12,Inline,
IF(AND(C52&gt;RAG_Calculation!H12,C52&lt;=RAG_Calculation!I12),Highest20,
IF(C52&gt;RAG_Calculation!I12,Highest10,""))))</f>
        <v>Broadly in line with similar schools</v>
      </c>
    </row>
    <row r="53" spans="1:6" ht="60" x14ac:dyDescent="0.2">
      <c r="A53" s="165" t="s">
        <v>92</v>
      </c>
      <c r="C53" s="169">
        <v>3.2520325203252032E-3</v>
      </c>
      <c r="D53" s="168" t="str">
        <f ca="1">IF(F49="Not Ready","",
IF(C53&lt;=RAG_Calculation!H13,Inline,
IF(AND(C53&gt;RAG_Calculation!H13,C53&lt;=RAG_Calculation!I13),Highest20,
IF(C53&gt;RAG_Calculation!I13,Highest10,""))))</f>
        <v>Broadly in line with similar schools</v>
      </c>
    </row>
    <row r="54" spans="1:6" ht="60" x14ac:dyDescent="0.2">
      <c r="A54" s="165" t="s">
        <v>93</v>
      </c>
      <c r="C54" s="169">
        <v>6.2601626016260167E-2</v>
      </c>
      <c r="D54" s="168" t="str">
        <f ca="1">IF(F49="Not Ready","",
IF(C54&lt;=RAG_Calculation!H14,Inline,
IF(AND(C54&gt;RAG_Calculation!H14,C54&lt;=RAG_Calculation!I14),Highest20,
IF(C54&gt;RAG_Calculation!I14,Highest10,""))))</f>
        <v>Broadly in line with similar schools</v>
      </c>
    </row>
    <row r="55" spans="1:6" ht="60" x14ac:dyDescent="0.2">
      <c r="A55" s="165" t="s">
        <v>94</v>
      </c>
      <c r="C55" s="169">
        <v>4.70189701897019E-2</v>
      </c>
      <c r="D55" s="168" t="str">
        <f ca="1">IF(F49="Not Ready","",
IF(C55&lt;=RAG_Calculation!C15,Lowest10,
IF(AND(C55&gt;RAG_Calculation!C15,C55&lt;=RAG_Calculation!D15),Lowest20,
IF(AND(C55&gt;RAG_Calculation!D15,C55&lt;=RAG_Calculation!E15),Inline,
IF(AND(C55&gt;RAG_Calculation!E15,C55&lt;=RAG_Calculation!G15),Middle20,
IF(C55&gt;RAG_Calculation!G15,Inline,""))))))</f>
        <v>Lowest 10% of similar schools</v>
      </c>
    </row>
    <row r="56" spans="1:6" ht="60" x14ac:dyDescent="0.2">
      <c r="A56" s="165" t="s">
        <v>95</v>
      </c>
      <c r="C56" s="169">
        <v>2.2764227642276424E-2</v>
      </c>
      <c r="D56" s="168" t="str">
        <f ca="1">IF(F49="Not Ready","",
IF(C56&lt;=RAG_Calculation!H16,Inline,
IF(AND(C56&gt;RAG_Calculation!H16,C56&lt;=RAG_Calculation!I16),Highest20,
IF(C56&gt;RAG_Calculation!I16,Highest10,""))))</f>
        <v>Highest 10% of similar schools</v>
      </c>
    </row>
    <row r="57" spans="1:6" ht="15" x14ac:dyDescent="0.2">
      <c r="A57" s="165" t="s">
        <v>29</v>
      </c>
      <c r="C57" s="171">
        <v>6.1382113821138208E-2</v>
      </c>
      <c r="D57" s="172" t="str">
        <f>IF(F49="Not Ready","","N/A")</f>
        <v>N/A</v>
      </c>
    </row>
    <row r="58" spans="1:6" x14ac:dyDescent="0.2">
      <c r="A58" s="167"/>
      <c r="C58" s="175"/>
      <c r="D58" s="170"/>
    </row>
    <row r="59" spans="1:6" ht="30" x14ac:dyDescent="0.2">
      <c r="A59" s="165" t="s">
        <v>96</v>
      </c>
      <c r="C59" s="173">
        <v>-1.8633540372670808E-2</v>
      </c>
      <c r="D59" s="174" t="str">
        <f>IF(F49="Not Ready","",
IF(C59&lt;=-0.05,High,
IF(AND(C59&gt;-0.05,C59&lt;0),Medium,
IF(C59&gt;=0,Low,""))))</f>
        <v>Medium risk</v>
      </c>
    </row>
    <row r="60" spans="1:6" ht="15" x14ac:dyDescent="0.2">
      <c r="A60" s="165" t="s">
        <v>97</v>
      </c>
      <c r="C60" s="171">
        <v>3.4782608695652174E-2</v>
      </c>
      <c r="D60" s="172" t="str">
        <f>IF(F49="Not Ready","",
IF(C60&lt;=-0.05,High,
IF(AND(C60&gt;-0.05,C60&lt;0),Medium,
IF(C60&gt;=0,Low,""))))</f>
        <v>Low risk</v>
      </c>
    </row>
    <row r="61" spans="1:6" x14ac:dyDescent="0.2">
      <c r="A61" s="167"/>
      <c r="C61" s="175"/>
      <c r="D61" s="170"/>
    </row>
    <row r="62" spans="1:6" ht="60" x14ac:dyDescent="0.2">
      <c r="A62" s="165" t="s">
        <v>32</v>
      </c>
      <c r="C62" s="218">
        <v>62357.79</v>
      </c>
      <c r="D62" s="174" t="str">
        <f ca="1">IF(F49="Not Ready","",
IF(C62&lt;=RAG_Calculation!C21,Lowest10,
IF(AND(C62&gt;RAG_Calculation!C21,C62&lt;=RAG_Calculation!D21),Lowest20,
IF(AND(C62&gt;RAG_Calculation!D21,C62&lt;=RAG_Calculation!E21),Inline,
IF(AND(C62&gt;RAG_Calculation!E21,C62&lt;=RAG_Calculation!G21),Middle20,
IF(AND(C62&gt;RAG_Calculation!G21,C62&lt;=RAG_Calculation!H21),Inline,
IF(AND(C62&gt;RAG_Calculation!H21,C62&lt;=RAG_Calculation!I21),Highest20,
IF(C62&gt;RAG_Calculation!I21,Highest10,""))))))))</f>
        <v>Highest 10% of similar schools</v>
      </c>
    </row>
    <row r="63" spans="1:6" ht="60" x14ac:dyDescent="0.2">
      <c r="A63" s="165" t="s">
        <v>33</v>
      </c>
      <c r="C63" s="169">
        <v>8.647526807333103E-2</v>
      </c>
      <c r="D63" s="168" t="str">
        <f ca="1">IF(F49="Not Ready","",
IF(C63&lt;=RAG_Calculation!E17,Inline,
IF(AND(C63&gt;RAG_Calculation!E17,C63&lt;=RAG_Calculation!G17),Middle20,
IF(AND(C63&gt;RAG_Calculation!G17,C63&lt;=RAG_Calculation!H17),Inline,
IF(AND(C63&gt;RAG_Calculation!H17,C63&lt;=RAG_Calculation!I17),Highest20,
IF(C63&gt;RAG_Calculation!I17,Highest10,""))))))</f>
        <v>Highest 20% of similar schools</v>
      </c>
    </row>
    <row r="64" spans="1:6" ht="60" x14ac:dyDescent="0.2">
      <c r="A64" s="165" t="s">
        <v>4</v>
      </c>
      <c r="C64" s="169">
        <v>19.09840728100114</v>
      </c>
      <c r="D64" s="168" t="str">
        <f ca="1">IF(F49="Not Ready","",
IF(C64&lt;=RAG_Calculation!C18,Lowest10,
IF(AND(C64&gt;RAG_Calculation!C18,C64&lt;=RAG_Calculation!D18),Lowest20,
IF(AND(C64&gt;RAG_Calculation!D18,C64&lt;=RAG_Calculation!E18),Inline,
IF(AND(C64&gt;RAG_Calculation!E18,C64&lt;=RAG_Calculation!G18),Middle20,
IF(AND(C64&gt;RAG_Calculation!G18,C64&lt;=RAG_Calculation!H18),Inline,
IF(AND(C64&gt;RAG_Calculation!H18,C64&lt;=RAG_Calculation!I18),Highest20,
IF(C64&gt;RAG_Calculation!I18,Highest10,""))))))))</f>
        <v>Highest 20% of similar schools</v>
      </c>
    </row>
    <row r="65" spans="1:4" ht="60" x14ac:dyDescent="0.2">
      <c r="A65" s="165" t="s">
        <v>14</v>
      </c>
      <c r="C65" s="169">
        <v>11.613628502248357</v>
      </c>
      <c r="D65" s="168" t="str">
        <f ca="1">IF(F49="Not Ready","",
IF(C65&lt;=RAG_Calculation!C19,Lowest10,
IF(AND(C65&gt;RAG_Calculation!C19,C65&lt;=RAG_Calculation!D19),Lowest20,
IF(AND(C65&gt;RAG_Calculation!D19,C65&lt;=RAG_Calculation!E19),Inline,
IF(AND(C65&gt;RAG_Calculation!E19,C65&lt;=RAG_Calculation!G19),Middle20,
IF(AND(C65&gt;RAG_Calculation!G19,C65&lt;=RAG_Calculation!H19),Inline,
IF(AND(C65&gt;RAG_Calculation!H19,C65&lt;=RAG_Calculation!I19),Highest20,
IF(C65&gt;RAG_Calculation!I19,Highest10,""))))))))</f>
        <v>Broadly in line with similar schools</v>
      </c>
    </row>
    <row r="66" spans="1:4" ht="60" x14ac:dyDescent="0.2">
      <c r="A66" s="165" t="s">
        <v>34</v>
      </c>
      <c r="C66" s="169"/>
      <c r="D66" s="168" t="str">
        <f>IF(F49="Not Ready","",
IF(C66&lt;=0.7,MuchLower,
IF(AND(C66&gt;0.7,C66&lt;=0.74),Lower,
IF(AND(C66&gt;0.74,C66&lt;=0.8),Inline2,
IF(AND(C66&gt;0.8,C66&lt;=0.82),Higher,
IF(C66&gt;0.82,Muchhigher,""))))))</f>
        <v>Much lower than recommended</v>
      </c>
    </row>
    <row r="67" spans="1:4" ht="15" x14ac:dyDescent="0.2">
      <c r="A67" s="165" t="s">
        <v>35</v>
      </c>
      <c r="C67" s="169">
        <v>5.5E-2</v>
      </c>
      <c r="D67" s="168" t="str">
        <f>IF(F49="Not Ready","",
IF(C67&lt;=-0.1,High,
IF(AND(C67&gt;-0.1,C67&lt;=-0.02),Medium,
IF(C67&gt;=-0.02,Low,""))))</f>
        <v>Low risk</v>
      </c>
    </row>
    <row r="68" spans="1:4" ht="60" x14ac:dyDescent="0.2">
      <c r="A68" s="166" t="s">
        <v>0</v>
      </c>
      <c r="C68" s="169">
        <v>21.5</v>
      </c>
      <c r="D68" s="168" t="str">
        <f ca="1">IF(F49="Not Ready","",
IF(C68&lt;=RAG_Calculation!C20,Lowest10,
IF(AND(C68&gt;RAG_Calculation!C20,C68&lt;=RAG_Calculation!D20),Lowest20,
IF(AND(C68&gt;RAG_Calculation!D20,C68&lt;=RAG_Calculation!E20),Inline,
IF(AND(C68&gt;RAG_Calculation!E20,C68&lt;=RAG_Calculation!G20),Middle20,
IF(AND(C68&gt;RAG_Calculation!G20,C68&lt;=RAG_Calculation!H20),Inline,
IF(AND(C68&gt;RAG_Calculation!H20,C68&lt;=RAG_Calculation!I20),Highest20,
IF(C68&gt;RAG_Calculation!I20,Highest10,""))))))))</f>
        <v>Middle 20% of similar schools</v>
      </c>
    </row>
    <row r="72" spans="1:4" s="102" customFormat="1" ht="15" x14ac:dyDescent="0.25">
      <c r="A72" s="102" t="s">
        <v>332</v>
      </c>
    </row>
    <row r="74" spans="1:4" x14ac:dyDescent="0.2">
      <c r="A74" s="105" t="s">
        <v>333</v>
      </c>
      <c r="B74" s="105" t="s">
        <v>334</v>
      </c>
    </row>
    <row r="75" spans="1:4" x14ac:dyDescent="0.2">
      <c r="A75" s="105" t="s">
        <v>335</v>
      </c>
      <c r="B75" s="105" t="s">
        <v>336</v>
      </c>
    </row>
    <row r="76" spans="1:4" x14ac:dyDescent="0.2">
      <c r="A76" s="105" t="s">
        <v>337</v>
      </c>
      <c r="B76" s="105" t="s">
        <v>338</v>
      </c>
    </row>
    <row r="77" spans="1:4" x14ac:dyDescent="0.2">
      <c r="A77" s="105" t="s">
        <v>339</v>
      </c>
      <c r="B77" s="105" t="s">
        <v>340</v>
      </c>
    </row>
    <row r="78" spans="1:4" x14ac:dyDescent="0.2">
      <c r="A78" s="105" t="s">
        <v>341</v>
      </c>
      <c r="B78" s="105" t="s">
        <v>342</v>
      </c>
    </row>
    <row r="79" spans="1:4" x14ac:dyDescent="0.2">
      <c r="A79" s="105" t="s">
        <v>343</v>
      </c>
    </row>
    <row r="80" spans="1:4" x14ac:dyDescent="0.2">
      <c r="B80" s="105" t="s">
        <v>344</v>
      </c>
    </row>
    <row r="81" spans="1:2" x14ac:dyDescent="0.2">
      <c r="B81" s="105" t="s">
        <v>345</v>
      </c>
    </row>
    <row r="82" spans="1:2" x14ac:dyDescent="0.2">
      <c r="A82" s="105" t="s">
        <v>346</v>
      </c>
      <c r="B82" s="105" t="s">
        <v>347</v>
      </c>
    </row>
    <row r="83" spans="1:2" x14ac:dyDescent="0.2">
      <c r="A83" s="105" t="s">
        <v>348</v>
      </c>
      <c r="B83" s="105" t="s">
        <v>349</v>
      </c>
    </row>
    <row r="84" spans="1:2" x14ac:dyDescent="0.2">
      <c r="A84" s="105" t="s">
        <v>350</v>
      </c>
    </row>
    <row r="85" spans="1:2" x14ac:dyDescent="0.2">
      <c r="B85" s="105" t="s">
        <v>351</v>
      </c>
    </row>
    <row r="86" spans="1:2" x14ac:dyDescent="0.2">
      <c r="B86" s="105" t="s">
        <v>352</v>
      </c>
    </row>
    <row r="87" spans="1:2" x14ac:dyDescent="0.2">
      <c r="B87" s="105" t="s">
        <v>353</v>
      </c>
    </row>
    <row r="88" spans="1:2" x14ac:dyDescent="0.2">
      <c r="B88" s="105" t="s">
        <v>354</v>
      </c>
    </row>
    <row r="91" spans="1:2" x14ac:dyDescent="0.2">
      <c r="A91" s="105" t="s">
        <v>20</v>
      </c>
    </row>
    <row r="92" spans="1:2" x14ac:dyDescent="0.2">
      <c r="A92" s="105" t="s">
        <v>114</v>
      </c>
    </row>
    <row r="93" spans="1:2" x14ac:dyDescent="0.2">
      <c r="A93" s="105" t="s">
        <v>115</v>
      </c>
    </row>
    <row r="94" spans="1:2" x14ac:dyDescent="0.2">
      <c r="A94" s="105" t="s">
        <v>21</v>
      </c>
    </row>
  </sheetData>
  <mergeCells count="3">
    <mergeCell ref="C28:F28"/>
    <mergeCell ref="G28:L28"/>
    <mergeCell ref="N28:O28"/>
  </mergeCells>
  <conditionalFormatting sqref="D59:D60">
    <cfRule type="containsText" dxfId="18" priority="17" operator="containsText" text="Low">
      <formula>NOT(ISERROR(SEARCH("Low",D59)))</formula>
    </cfRule>
    <cfRule type="containsText" dxfId="17" priority="18" operator="containsText" text="Medium">
      <formula>NOT(ISERROR(SEARCH("Medium",D59)))</formula>
    </cfRule>
    <cfRule type="containsText" dxfId="16" priority="19" operator="containsText" text="High">
      <formula>NOT(ISERROR(SEARCH("High",D59)))</formula>
    </cfRule>
  </conditionalFormatting>
  <conditionalFormatting sqref="D62:D65 D68">
    <cfRule type="containsText" dxfId="15" priority="13" operator="containsText" text="Middle 20%">
      <formula>NOT(ISERROR(SEARCH("Middle 20%",D62)))</formula>
    </cfRule>
    <cfRule type="containsText" dxfId="14" priority="14" operator="containsText" text="Broadly">
      <formula>NOT(ISERROR(SEARCH("Broadly",D62)))</formula>
    </cfRule>
    <cfRule type="containsText" dxfId="13" priority="15" operator="containsText" text="20%">
      <formula>NOT(ISERROR(SEARCH("20%",D62)))</formula>
    </cfRule>
    <cfRule type="containsText" dxfId="12" priority="16" operator="containsText" text="10%">
      <formula>NOT(ISERROR(SEARCH("10%",D62)))</formula>
    </cfRule>
  </conditionalFormatting>
  <conditionalFormatting sqref="D66">
    <cfRule type="expression" dxfId="11" priority="6">
      <formula>OR(D18="Nursery",D18="Alternative provision",D18="Special")</formula>
    </cfRule>
    <cfRule type="containsText" dxfId="10" priority="10" operator="containsText" text="Broadly">
      <formula>NOT(ISERROR(SEARCH("Broadly",D66)))</formula>
    </cfRule>
    <cfRule type="containsText" dxfId="9" priority="11" operator="containsText" text="Much">
      <formula>NOT(ISERROR(SEARCH("Much",D66)))</formula>
    </cfRule>
    <cfRule type="containsText" dxfId="8" priority="12" operator="containsText" text="Than">
      <formula>NOT(ISERROR(SEARCH("Than",D66)))</formula>
    </cfRule>
  </conditionalFormatting>
  <conditionalFormatting sqref="D67">
    <cfRule type="containsText" dxfId="7" priority="7" operator="containsText" text="Low">
      <formula>NOT(ISERROR(SEARCH("Low",D67)))</formula>
    </cfRule>
    <cfRule type="containsText" dxfId="6" priority="8" operator="containsText" text="Medium">
      <formula>NOT(ISERROR(SEARCH("Medium",D67)))</formula>
    </cfRule>
    <cfRule type="containsText" dxfId="5" priority="9" operator="containsText" text="High">
      <formula>NOT(ISERROR(SEARCH("High",D67)))</formula>
    </cfRule>
  </conditionalFormatting>
  <conditionalFormatting sqref="D68">
    <cfRule type="expression" dxfId="4" priority="5">
      <formula>OR(D18="Nursery",D18="Alternative provision",D18="Special")</formula>
    </cfRule>
  </conditionalFormatting>
  <conditionalFormatting sqref="D49:D56">
    <cfRule type="containsText" dxfId="3" priority="1" operator="containsText" text="Middle 20%">
      <formula>NOT(ISERROR(SEARCH("Middle 20%",D49)))</formula>
    </cfRule>
    <cfRule type="containsText" dxfId="2" priority="2" operator="containsText" text="Broadly">
      <formula>NOT(ISERROR(SEARCH("Broadly",D49)))</formula>
    </cfRule>
    <cfRule type="containsText" dxfId="1" priority="3" operator="containsText" text="20%">
      <formula>NOT(ISERROR(SEARCH("20%",D49)))</formula>
    </cfRule>
    <cfRule type="containsText" dxfId="0" priority="4" operator="containsText" text="10%">
      <formula>NOT(ISERROR(SEARCH("10%",D49)))</formula>
    </cfRule>
  </conditionalFormatting>
  <pageMargins left="0.7" right="0.7" top="0.75" bottom="0.75" header="0.3" footer="0.3"/>
  <pageSetup paperSize="9" orientation="portrait" r:id="rId1"/>
  <customProperties>
    <customPr name="_pios_id" r:id="rId2"/>
  </customProperties>
  <cellWatches>
    <cellWatch r="E30"/>
    <cellWatch r="I30"/>
  </cellWatch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pageSetUpPr fitToPage="1"/>
  </sheetPr>
  <dimension ref="A1:X22"/>
  <sheetViews>
    <sheetView showGridLines="0" zoomScale="70" zoomScaleNormal="70" workbookViewId="0"/>
  </sheetViews>
  <sheetFormatPr defaultColWidth="0" defaultRowHeight="0" customHeight="1" zeroHeight="1" x14ac:dyDescent="0.2"/>
  <cols>
    <col min="1" max="1" width="8" style="1" customWidth="1"/>
    <col min="2" max="2" width="2.5703125" style="1" customWidth="1"/>
    <col min="3" max="3" width="3.140625" style="1" customWidth="1"/>
    <col min="4" max="11" width="9" style="1" customWidth="1"/>
    <col min="12" max="12" width="10.5703125" style="1" customWidth="1"/>
    <col min="13" max="13" width="9" style="1" customWidth="1"/>
    <col min="14" max="18" width="10.140625" style="1" customWidth="1"/>
    <col min="19" max="20" width="9" style="1" customWidth="1"/>
    <col min="21" max="21" width="2.5703125" style="1" customWidth="1"/>
    <col min="22" max="22" width="7.5703125" style="1" customWidth="1"/>
    <col min="23" max="16384" width="9" style="1" hidden="1"/>
  </cols>
  <sheetData>
    <row r="1" spans="2:21" ht="14.25" customHeight="1" thickBot="1" x14ac:dyDescent="0.25"/>
    <row r="2" spans="2:21" ht="14.25" x14ac:dyDescent="0.2">
      <c r="B2" s="2"/>
      <c r="C2" s="3"/>
      <c r="D2" s="3"/>
      <c r="E2" s="3"/>
      <c r="F2" s="3"/>
      <c r="G2" s="3"/>
      <c r="H2" s="3"/>
      <c r="I2" s="3"/>
      <c r="J2" s="3"/>
      <c r="K2" s="3"/>
      <c r="L2" s="3"/>
      <c r="M2" s="3"/>
      <c r="N2" s="3"/>
      <c r="O2" s="3"/>
      <c r="P2" s="3"/>
      <c r="Q2" s="3"/>
      <c r="R2" s="3"/>
      <c r="S2" s="3"/>
      <c r="T2" s="3"/>
      <c r="U2" s="4"/>
    </row>
    <row r="3" spans="2:21" ht="20.25" x14ac:dyDescent="0.2">
      <c r="B3" s="6"/>
      <c r="C3" s="286" t="s">
        <v>149</v>
      </c>
      <c r="D3" s="286"/>
      <c r="E3" s="286"/>
      <c r="F3" s="286"/>
      <c r="G3" s="286"/>
      <c r="H3" s="286"/>
      <c r="I3" s="286"/>
      <c r="J3" s="286"/>
      <c r="K3" s="286"/>
      <c r="L3" s="286"/>
      <c r="M3" s="286"/>
      <c r="N3" s="286"/>
      <c r="O3" s="286"/>
      <c r="P3" s="286"/>
      <c r="Q3" s="286"/>
      <c r="R3" s="286"/>
      <c r="S3" s="286"/>
      <c r="T3" s="286"/>
      <c r="U3" s="7"/>
    </row>
    <row r="4" spans="2:21" ht="14.25" x14ac:dyDescent="0.2">
      <c r="B4" s="6"/>
      <c r="C4" s="5"/>
      <c r="D4" s="5"/>
      <c r="E4" s="5"/>
      <c r="F4" s="5"/>
      <c r="G4" s="5"/>
      <c r="H4" s="5"/>
      <c r="I4" s="5"/>
      <c r="J4" s="5"/>
      <c r="K4" s="5"/>
      <c r="L4" s="5"/>
      <c r="M4" s="5"/>
      <c r="N4" s="5"/>
      <c r="O4" s="5"/>
      <c r="P4" s="5"/>
      <c r="Q4" s="5"/>
      <c r="R4" s="5"/>
      <c r="S4" s="5"/>
      <c r="T4" s="5"/>
      <c r="U4" s="7"/>
    </row>
    <row r="5" spans="2:21" s="39" customFormat="1" ht="88.5" customHeight="1" x14ac:dyDescent="0.25">
      <c r="B5" s="37"/>
      <c r="C5" s="287" t="s">
        <v>150</v>
      </c>
      <c r="D5" s="288"/>
      <c r="E5" s="288"/>
      <c r="F5" s="288"/>
      <c r="G5" s="288"/>
      <c r="H5" s="288"/>
      <c r="I5" s="288"/>
      <c r="J5" s="288"/>
      <c r="K5" s="288"/>
      <c r="L5" s="288"/>
      <c r="M5" s="288"/>
      <c r="N5" s="288"/>
      <c r="O5" s="288"/>
      <c r="P5" s="288"/>
      <c r="Q5" s="288"/>
      <c r="R5" s="288"/>
      <c r="S5" s="288"/>
      <c r="T5" s="289"/>
      <c r="U5" s="38"/>
    </row>
    <row r="6" spans="2:21" s="39" customFormat="1" ht="31.35" customHeight="1" x14ac:dyDescent="0.25">
      <c r="B6" s="37"/>
      <c r="C6" s="290" t="s">
        <v>362</v>
      </c>
      <c r="D6" s="291"/>
      <c r="E6" s="291"/>
      <c r="F6" s="291"/>
      <c r="G6" s="291"/>
      <c r="H6" s="291"/>
      <c r="I6" s="291"/>
      <c r="J6" s="291"/>
      <c r="K6" s="291"/>
      <c r="L6" s="291"/>
      <c r="M6" s="291"/>
      <c r="N6" s="291"/>
      <c r="O6" s="291"/>
      <c r="P6" s="291"/>
      <c r="Q6" s="291"/>
      <c r="R6" s="291"/>
      <c r="S6" s="291"/>
      <c r="T6" s="292"/>
      <c r="U6" s="38"/>
    </row>
    <row r="7" spans="2:21" s="39" customFormat="1" ht="40.5" customHeight="1" x14ac:dyDescent="0.25">
      <c r="B7" s="37"/>
      <c r="C7" s="290" t="s">
        <v>151</v>
      </c>
      <c r="D7" s="291"/>
      <c r="E7" s="291"/>
      <c r="F7" s="291"/>
      <c r="G7" s="291"/>
      <c r="H7" s="291"/>
      <c r="I7" s="291"/>
      <c r="J7" s="291"/>
      <c r="K7" s="291"/>
      <c r="L7" s="291"/>
      <c r="M7" s="291"/>
      <c r="N7" s="291"/>
      <c r="O7" s="291"/>
      <c r="P7" s="291"/>
      <c r="Q7" s="291"/>
      <c r="R7" s="291"/>
      <c r="S7" s="291"/>
      <c r="T7" s="292"/>
      <c r="U7" s="38"/>
    </row>
    <row r="8" spans="2:21" ht="40.5" customHeight="1" x14ac:dyDescent="0.2">
      <c r="B8" s="6"/>
      <c r="C8" s="293" t="s">
        <v>370</v>
      </c>
      <c r="D8" s="294"/>
      <c r="E8" s="294"/>
      <c r="F8" s="294"/>
      <c r="G8" s="294"/>
      <c r="H8" s="294"/>
      <c r="I8" s="294"/>
      <c r="J8" s="294"/>
      <c r="K8" s="294"/>
      <c r="L8" s="294"/>
      <c r="M8" s="294"/>
      <c r="N8" s="294"/>
      <c r="O8" s="294"/>
      <c r="P8" s="294"/>
      <c r="Q8" s="294"/>
      <c r="R8" s="294"/>
      <c r="S8" s="294"/>
      <c r="T8" s="295"/>
      <c r="U8" s="7"/>
    </row>
    <row r="9" spans="2:21" ht="15" x14ac:dyDescent="0.2">
      <c r="B9" s="6"/>
      <c r="C9" s="40"/>
      <c r="D9" s="40"/>
      <c r="E9" s="40"/>
      <c r="F9" s="40"/>
      <c r="G9" s="40"/>
      <c r="H9" s="40"/>
      <c r="I9" s="40"/>
      <c r="J9" s="40"/>
      <c r="K9" s="40"/>
      <c r="L9" s="40"/>
      <c r="M9" s="40"/>
      <c r="N9" s="40"/>
      <c r="O9" s="40"/>
      <c r="P9" s="40"/>
      <c r="Q9" s="40"/>
      <c r="R9" s="40"/>
      <c r="S9" s="40"/>
      <c r="T9" s="40"/>
      <c r="U9" s="7"/>
    </row>
    <row r="10" spans="2:21" ht="14.25" x14ac:dyDescent="0.2">
      <c r="B10" s="6"/>
      <c r="C10" s="5"/>
      <c r="D10" s="5"/>
      <c r="E10" s="5"/>
      <c r="F10" s="5"/>
      <c r="G10" s="5"/>
      <c r="H10" s="5"/>
      <c r="I10" s="5"/>
      <c r="J10" s="5"/>
      <c r="K10" s="5"/>
      <c r="L10" s="5"/>
      <c r="M10" s="5"/>
      <c r="N10" s="5"/>
      <c r="O10" s="5"/>
      <c r="P10" s="5"/>
      <c r="Q10" s="5"/>
      <c r="R10" s="5"/>
      <c r="S10" s="5"/>
      <c r="T10" s="5"/>
      <c r="U10" s="7"/>
    </row>
    <row r="11" spans="2:21" ht="24.75" customHeight="1" x14ac:dyDescent="0.2">
      <c r="B11" s="6"/>
      <c r="C11" s="286" t="s">
        <v>152</v>
      </c>
      <c r="D11" s="286"/>
      <c r="E11" s="286"/>
      <c r="F11" s="286"/>
      <c r="G11" s="286"/>
      <c r="H11" s="286"/>
      <c r="I11" s="286"/>
      <c r="J11" s="286"/>
      <c r="K11" s="286"/>
      <c r="L11" s="286"/>
      <c r="M11" s="286"/>
      <c r="N11" s="286"/>
      <c r="O11" s="286"/>
      <c r="P11" s="286"/>
      <c r="Q11" s="286"/>
      <c r="R11" s="286"/>
      <c r="S11" s="286"/>
      <c r="T11" s="286"/>
      <c r="U11" s="7"/>
    </row>
    <row r="12" spans="2:21" ht="14.25" x14ac:dyDescent="0.2">
      <c r="B12" s="6"/>
      <c r="C12" s="5"/>
      <c r="D12" s="5"/>
      <c r="E12" s="5"/>
      <c r="F12" s="5"/>
      <c r="G12" s="5"/>
      <c r="H12" s="5"/>
      <c r="I12" s="5"/>
      <c r="J12" s="5"/>
      <c r="K12" s="5"/>
      <c r="L12" s="5"/>
      <c r="M12" s="5"/>
      <c r="N12" s="5"/>
      <c r="O12" s="5"/>
      <c r="P12" s="5"/>
      <c r="Q12" s="5"/>
      <c r="R12" s="5"/>
      <c r="S12" s="5"/>
      <c r="T12" s="5"/>
      <c r="U12" s="7"/>
    </row>
    <row r="13" spans="2:21" ht="15.75" x14ac:dyDescent="0.25">
      <c r="B13" s="6"/>
      <c r="C13" s="297" t="s">
        <v>143</v>
      </c>
      <c r="D13" s="298"/>
      <c r="E13" s="298"/>
      <c r="F13" s="298"/>
      <c r="G13" s="298"/>
      <c r="H13" s="298"/>
      <c r="I13" s="298"/>
      <c r="J13" s="298"/>
      <c r="K13" s="298"/>
      <c r="L13" s="298"/>
      <c r="M13" s="298"/>
      <c r="N13" s="298"/>
      <c r="O13" s="298"/>
      <c r="P13" s="298"/>
      <c r="Q13" s="298"/>
      <c r="R13" s="298"/>
      <c r="S13" s="298"/>
      <c r="T13" s="299"/>
      <c r="U13" s="7"/>
    </row>
    <row r="14" spans="2:21" ht="282" customHeight="1" x14ac:dyDescent="0.2">
      <c r="B14" s="6"/>
      <c r="C14" s="300" t="s">
        <v>433</v>
      </c>
      <c r="D14" s="301"/>
      <c r="E14" s="301"/>
      <c r="F14" s="301"/>
      <c r="G14" s="301"/>
      <c r="H14" s="301"/>
      <c r="I14" s="301"/>
      <c r="J14" s="301"/>
      <c r="K14" s="301"/>
      <c r="L14" s="301"/>
      <c r="M14" s="301"/>
      <c r="N14" s="301"/>
      <c r="O14" s="301"/>
      <c r="P14" s="301"/>
      <c r="Q14" s="301"/>
      <c r="R14" s="301"/>
      <c r="S14" s="301"/>
      <c r="T14" s="302"/>
      <c r="U14" s="7"/>
    </row>
    <row r="15" spans="2:21" ht="14.85" customHeight="1" x14ac:dyDescent="0.2">
      <c r="B15" s="6"/>
      <c r="C15" s="5"/>
      <c r="D15" s="5"/>
      <c r="E15" s="5"/>
      <c r="F15" s="5"/>
      <c r="G15" s="5"/>
      <c r="H15" s="5"/>
      <c r="I15" s="5"/>
      <c r="J15" s="5"/>
      <c r="K15" s="5"/>
      <c r="L15" s="5"/>
      <c r="M15" s="5"/>
      <c r="N15" s="5"/>
      <c r="O15" s="5"/>
      <c r="P15" s="5"/>
      <c r="Q15" s="5"/>
      <c r="R15" s="5"/>
      <c r="S15" s="5"/>
      <c r="T15" s="5"/>
      <c r="U15" s="7"/>
    </row>
    <row r="16" spans="2:21" ht="15.6" customHeight="1" x14ac:dyDescent="0.2">
      <c r="B16" s="6"/>
      <c r="C16" s="304" t="s">
        <v>39</v>
      </c>
      <c r="D16" s="305"/>
      <c r="E16" s="305"/>
      <c r="F16" s="305"/>
      <c r="G16" s="305"/>
      <c r="H16" s="305"/>
      <c r="I16" s="305"/>
      <c r="J16" s="305"/>
      <c r="K16" s="306"/>
      <c r="L16" s="310"/>
      <c r="M16" s="311"/>
      <c r="N16" s="312"/>
      <c r="O16" s="303" t="s">
        <v>153</v>
      </c>
      <c r="P16" s="303"/>
      <c r="Q16" s="303"/>
      <c r="R16" s="303"/>
      <c r="S16" s="303"/>
      <c r="U16" s="7"/>
    </row>
    <row r="17" spans="1:24" ht="15.6" customHeight="1" x14ac:dyDescent="0.2">
      <c r="B17" s="6"/>
      <c r="C17" s="41"/>
      <c r="D17" s="41"/>
      <c r="E17" s="43"/>
      <c r="U17" s="7"/>
    </row>
    <row r="18" spans="1:24" ht="15.6" customHeight="1" x14ac:dyDescent="0.2">
      <c r="B18" s="6"/>
      <c r="C18" s="304" t="s">
        <v>42</v>
      </c>
      <c r="D18" s="305"/>
      <c r="E18" s="305"/>
      <c r="F18" s="305"/>
      <c r="G18" s="305"/>
      <c r="H18" s="305"/>
      <c r="I18" s="305"/>
      <c r="J18" s="305"/>
      <c r="K18" s="306"/>
      <c r="L18" s="310"/>
      <c r="M18" s="311"/>
      <c r="N18" s="312"/>
      <c r="U18" s="7"/>
    </row>
    <row r="19" spans="1:24" ht="15.6" customHeight="1" x14ac:dyDescent="0.2">
      <c r="B19" s="6"/>
      <c r="C19" s="41"/>
      <c r="D19" s="41"/>
      <c r="E19" s="43"/>
      <c r="F19" s="43"/>
      <c r="G19" s="43"/>
      <c r="L19" s="43"/>
      <c r="M19" s="43"/>
      <c r="N19" s="43"/>
      <c r="O19" s="43"/>
      <c r="U19" s="7"/>
    </row>
    <row r="20" spans="1:24" ht="15.6" customHeight="1" x14ac:dyDescent="0.2">
      <c r="B20" s="6"/>
      <c r="C20" s="307" t="s">
        <v>154</v>
      </c>
      <c r="D20" s="308"/>
      <c r="E20" s="308"/>
      <c r="F20" s="308"/>
      <c r="G20" s="308"/>
      <c r="H20" s="308"/>
      <c r="I20" s="308"/>
      <c r="J20" s="308"/>
      <c r="K20" s="309"/>
      <c r="L20" s="310"/>
      <c r="M20" s="311"/>
      <c r="N20" s="312"/>
      <c r="U20" s="7"/>
    </row>
    <row r="21" spans="1:24" s="17" customFormat="1" ht="15.6" customHeight="1" thickBot="1" x14ac:dyDescent="0.25">
      <c r="B21" s="25"/>
      <c r="C21" s="27"/>
      <c r="D21" s="27"/>
      <c r="E21" s="27"/>
      <c r="F21" s="27"/>
      <c r="G21" s="27"/>
      <c r="H21" s="27"/>
      <c r="I21" s="27"/>
      <c r="J21" s="27"/>
      <c r="K21" s="28"/>
      <c r="L21" s="42"/>
      <c r="M21" s="30"/>
      <c r="N21" s="31"/>
      <c r="O21" s="31"/>
      <c r="P21" s="31"/>
      <c r="Q21" s="31"/>
      <c r="R21" s="31"/>
      <c r="S21" s="31"/>
      <c r="T21" s="31"/>
      <c r="U21" s="32"/>
    </row>
    <row r="22" spans="1:24" ht="39.6" customHeight="1" x14ac:dyDescent="0.2">
      <c r="A22" s="5"/>
      <c r="B22" s="5"/>
      <c r="C22" s="296"/>
      <c r="D22" s="296"/>
      <c r="E22" s="296"/>
      <c r="F22" s="296"/>
      <c r="G22" s="296"/>
      <c r="H22" s="296"/>
      <c r="I22" s="296"/>
      <c r="J22" s="296"/>
      <c r="K22" s="5"/>
      <c r="L22" s="33"/>
      <c r="M22" s="34"/>
      <c r="N22" s="35"/>
      <c r="O22" s="35"/>
      <c r="P22" s="35"/>
      <c r="Q22" s="35"/>
      <c r="R22" s="35"/>
      <c r="S22" s="5"/>
      <c r="T22" s="5"/>
      <c r="U22" s="5"/>
      <c r="V22" s="5"/>
      <c r="W22" s="36"/>
      <c r="X22" s="36"/>
    </row>
  </sheetData>
  <sheetProtection algorithmName="SHA-512" hashValue="/j+kcPzvgJFQUD6AIT43FunitBM/Llw6nOO6HatvJj8emPXzK9OtSwk/8xHgtX458DvcWLn6op71Mm4XzXWe9w==" saltValue="h0yWrUtfXXOK6U5w6YVLjg==" spinCount="100000" sheet="1" objects="1" scenarios="1"/>
  <mergeCells count="16">
    <mergeCell ref="C3:T3"/>
    <mergeCell ref="C5:T5"/>
    <mergeCell ref="C8:T8"/>
    <mergeCell ref="C6:T6"/>
    <mergeCell ref="C22:J22"/>
    <mergeCell ref="C13:T13"/>
    <mergeCell ref="C11:T11"/>
    <mergeCell ref="C14:T14"/>
    <mergeCell ref="O16:S16"/>
    <mergeCell ref="C16:K16"/>
    <mergeCell ref="C20:K20"/>
    <mergeCell ref="C18:K18"/>
    <mergeCell ref="L16:N16"/>
    <mergeCell ref="L20:N20"/>
    <mergeCell ref="L18:N18"/>
    <mergeCell ref="C7:T7"/>
  </mergeCells>
  <dataValidations disablePrompts="1" count="1">
    <dataValidation type="list" allowBlank="1" showInputMessage="1" showErrorMessage="1" sqref="L21:L22">
      <formula1>$W$2:$Y$2</formula1>
    </dataValidation>
  </dataValidations>
  <pageMargins left="0.70866141732283472" right="0.70866141732283472" top="0.74803149606299213" bottom="0.74803149606299213" header="0.31496062992125984" footer="0.31496062992125984"/>
  <pageSetup paperSize="9" scale="67" orientation="landscape" cellComments="asDisplayed" r:id="rId1"/>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pageSetUpPr fitToPage="1"/>
  </sheetPr>
  <dimension ref="A1:Y86"/>
  <sheetViews>
    <sheetView showGridLines="0" topLeftCell="A2" zoomScale="90" zoomScaleNormal="90" workbookViewId="0">
      <selection activeCell="Q72" sqref="Q72"/>
    </sheetView>
  </sheetViews>
  <sheetFormatPr defaultColWidth="0" defaultRowHeight="0" customHeight="1" zeroHeight="1" x14ac:dyDescent="0.25"/>
  <cols>
    <col min="1" max="1" width="8" style="1" customWidth="1"/>
    <col min="2" max="2" width="2.5703125" style="1" customWidth="1"/>
    <col min="3" max="3" width="4.140625" style="1" customWidth="1"/>
    <col min="4" max="10" width="9" style="1" customWidth="1"/>
    <col min="11" max="11" width="11.7109375" style="263" customWidth="1"/>
    <col min="12" max="12" width="8.42578125" style="1" customWidth="1"/>
    <col min="13" max="13" width="16.140625" style="1" customWidth="1"/>
    <col min="14" max="14" width="9" style="1" customWidth="1"/>
    <col min="15" max="15" width="19.85546875" style="1" customWidth="1"/>
    <col min="16" max="16" width="9" style="1" customWidth="1"/>
    <col min="17" max="17" width="54.5703125" style="1" customWidth="1"/>
    <col min="18" max="18" width="2.5703125" style="1" customWidth="1"/>
    <col min="19" max="19" width="7.5703125" style="1" customWidth="1"/>
    <col min="20" max="21" width="9" style="1" hidden="1" customWidth="1"/>
    <col min="22" max="25" width="0" style="1" hidden="1" customWidth="1"/>
    <col min="26" max="16384" width="9" style="1" hidden="1"/>
  </cols>
  <sheetData>
    <row r="1" spans="2:18" ht="14.25" customHeight="1" thickBot="1" x14ac:dyDescent="0.3"/>
    <row r="2" spans="2:18" ht="15.75" x14ac:dyDescent="0.25">
      <c r="B2" s="2"/>
      <c r="C2" s="3"/>
      <c r="D2" s="3"/>
      <c r="E2" s="3"/>
      <c r="F2" s="3"/>
      <c r="G2" s="3"/>
      <c r="H2" s="3"/>
      <c r="I2" s="3"/>
      <c r="J2" s="3"/>
      <c r="K2" s="264"/>
      <c r="L2" s="3"/>
      <c r="M2" s="3"/>
      <c r="N2" s="3"/>
      <c r="O2" s="3"/>
      <c r="P2" s="3"/>
      <c r="Q2" s="3"/>
      <c r="R2" s="4"/>
    </row>
    <row r="3" spans="2:18" ht="24.75" customHeight="1" x14ac:dyDescent="0.2">
      <c r="B3" s="6"/>
      <c r="C3" s="320" t="s">
        <v>160</v>
      </c>
      <c r="D3" s="320"/>
      <c r="E3" s="320"/>
      <c r="F3" s="320"/>
      <c r="G3" s="320"/>
      <c r="H3" s="320"/>
      <c r="I3" s="320"/>
      <c r="J3" s="320"/>
      <c r="K3" s="320"/>
      <c r="L3" s="320"/>
      <c r="M3" s="320"/>
      <c r="N3" s="320"/>
      <c r="O3" s="320"/>
      <c r="P3" s="320"/>
      <c r="Q3" s="320"/>
      <c r="R3" s="7"/>
    </row>
    <row r="4" spans="2:18" ht="15.75" x14ac:dyDescent="0.25">
      <c r="B4" s="6"/>
      <c r="R4" s="7"/>
    </row>
    <row r="5" spans="2:18" ht="110.65" customHeight="1" x14ac:dyDescent="0.2">
      <c r="B5" s="6"/>
      <c r="C5" s="321" t="s">
        <v>432</v>
      </c>
      <c r="D5" s="322"/>
      <c r="E5" s="322"/>
      <c r="F5" s="322"/>
      <c r="G5" s="322"/>
      <c r="H5" s="322"/>
      <c r="I5" s="322"/>
      <c r="J5" s="322"/>
      <c r="K5" s="322"/>
      <c r="L5" s="322"/>
      <c r="M5" s="322"/>
      <c r="N5" s="322"/>
      <c r="O5" s="322"/>
      <c r="P5" s="322"/>
      <c r="Q5" s="323"/>
      <c r="R5" s="7"/>
    </row>
    <row r="6" spans="2:18" ht="41.1" customHeight="1" x14ac:dyDescent="0.2">
      <c r="B6" s="6"/>
      <c r="C6" s="324" t="s">
        <v>155</v>
      </c>
      <c r="D6" s="325"/>
      <c r="E6" s="325"/>
      <c r="F6" s="325"/>
      <c r="G6" s="325"/>
      <c r="H6" s="325"/>
      <c r="I6" s="325"/>
      <c r="J6" s="325"/>
      <c r="K6" s="325"/>
      <c r="L6" s="325"/>
      <c r="M6" s="325"/>
      <c r="N6" s="325"/>
      <c r="O6" s="325"/>
      <c r="P6" s="325"/>
      <c r="Q6" s="326"/>
      <c r="R6" s="7"/>
    </row>
    <row r="7" spans="2:18" ht="40.35" customHeight="1" x14ac:dyDescent="0.2">
      <c r="B7" s="6"/>
      <c r="C7" s="327" t="s">
        <v>386</v>
      </c>
      <c r="D7" s="328"/>
      <c r="E7" s="328"/>
      <c r="F7" s="328"/>
      <c r="G7" s="328"/>
      <c r="H7" s="328"/>
      <c r="I7" s="328"/>
      <c r="J7" s="328"/>
      <c r="K7" s="328"/>
      <c r="L7" s="328"/>
      <c r="M7" s="328"/>
      <c r="N7" s="328"/>
      <c r="O7" s="328"/>
      <c r="P7" s="328"/>
      <c r="Q7" s="329"/>
      <c r="R7" s="7"/>
    </row>
    <row r="8" spans="2:18" ht="14.85" customHeight="1" x14ac:dyDescent="0.25">
      <c r="B8" s="6"/>
      <c r="R8" s="7"/>
    </row>
    <row r="9" spans="2:18" ht="14.85" customHeight="1" x14ac:dyDescent="0.2">
      <c r="B9" s="6"/>
      <c r="C9" s="330" t="s">
        <v>156</v>
      </c>
      <c r="D9" s="331"/>
      <c r="E9" s="331"/>
      <c r="F9" s="332"/>
      <c r="G9" s="336" t="s">
        <v>437</v>
      </c>
      <c r="H9" s="336"/>
      <c r="I9" s="336"/>
      <c r="J9" s="336"/>
      <c r="K9" s="336"/>
      <c r="L9" s="336"/>
      <c r="M9" s="336"/>
      <c r="N9" s="336"/>
      <c r="O9" s="336"/>
      <c r="P9" s="336"/>
      <c r="Q9" s="336"/>
      <c r="R9" s="7"/>
    </row>
    <row r="10" spans="2:18" ht="14.85" customHeight="1" x14ac:dyDescent="0.2">
      <c r="B10" s="6"/>
      <c r="C10" s="333"/>
      <c r="D10" s="334"/>
      <c r="E10" s="334"/>
      <c r="F10" s="335"/>
      <c r="G10" s="336"/>
      <c r="H10" s="336"/>
      <c r="I10" s="336"/>
      <c r="J10" s="336"/>
      <c r="K10" s="336"/>
      <c r="L10" s="336"/>
      <c r="M10" s="336"/>
      <c r="N10" s="336"/>
      <c r="O10" s="336"/>
      <c r="P10" s="336"/>
      <c r="Q10" s="336"/>
      <c r="R10" s="7"/>
    </row>
    <row r="11" spans="2:18" s="17" customFormat="1" ht="14.25" customHeight="1" x14ac:dyDescent="0.25">
      <c r="B11" s="15"/>
      <c r="K11" s="263"/>
      <c r="M11" s="265"/>
      <c r="N11" s="266"/>
      <c r="O11" s="266"/>
      <c r="P11" s="266"/>
      <c r="Q11" s="265"/>
      <c r="R11" s="16"/>
    </row>
    <row r="12" spans="2:18" s="21" customFormat="1" ht="35.25" customHeight="1" x14ac:dyDescent="0.25">
      <c r="B12" s="18"/>
      <c r="K12" s="267"/>
      <c r="M12" s="268" t="s">
        <v>248</v>
      </c>
      <c r="N12" s="268"/>
      <c r="O12" s="268" t="s">
        <v>274</v>
      </c>
      <c r="P12" s="268"/>
      <c r="Q12" s="268" t="s">
        <v>13</v>
      </c>
      <c r="R12" s="20"/>
    </row>
    <row r="13" spans="2:18" s="17" customFormat="1" ht="15.75" x14ac:dyDescent="0.2">
      <c r="B13" s="15"/>
      <c r="C13" s="316" t="s">
        <v>12</v>
      </c>
      <c r="D13" s="316"/>
      <c r="E13" s="316"/>
      <c r="F13" s="316"/>
      <c r="G13" s="316"/>
      <c r="H13" s="316"/>
      <c r="I13" s="316"/>
      <c r="J13" s="316"/>
      <c r="K13" s="316"/>
      <c r="L13" s="316"/>
      <c r="M13" s="316"/>
      <c r="N13" s="316"/>
      <c r="O13" s="316"/>
      <c r="P13" s="316"/>
      <c r="Q13" s="316"/>
      <c r="R13" s="16"/>
    </row>
    <row r="14" spans="2:18" s="17" customFormat="1" ht="4.3499999999999996" customHeight="1" x14ac:dyDescent="0.25">
      <c r="B14" s="15"/>
      <c r="F14" s="269"/>
      <c r="G14" s="269"/>
      <c r="H14" s="269"/>
      <c r="I14" s="269"/>
      <c r="J14" s="269"/>
      <c r="K14" s="270"/>
      <c r="L14" s="269"/>
      <c r="M14" s="269"/>
      <c r="N14" s="269"/>
      <c r="O14" s="269"/>
      <c r="P14" s="269"/>
      <c r="Q14" s="269"/>
      <c r="R14" s="16"/>
    </row>
    <row r="15" spans="2:18" s="17" customFormat="1" ht="4.3499999999999996" customHeight="1" x14ac:dyDescent="0.25">
      <c r="B15" s="15"/>
      <c r="F15" s="269"/>
      <c r="G15" s="269"/>
      <c r="H15" s="269"/>
      <c r="I15" s="269"/>
      <c r="J15" s="269"/>
      <c r="K15" s="270"/>
      <c r="L15" s="269"/>
      <c r="M15" s="269"/>
      <c r="N15" s="269"/>
      <c r="O15" s="269"/>
      <c r="P15" s="269"/>
      <c r="Q15" s="269"/>
      <c r="R15" s="16"/>
    </row>
    <row r="16" spans="2:18" s="17" customFormat="1" ht="60" customHeight="1" x14ac:dyDescent="0.2">
      <c r="B16" s="15"/>
      <c r="C16" s="22">
        <v>1</v>
      </c>
      <c r="D16" s="313" t="s">
        <v>387</v>
      </c>
      <c r="E16" s="314"/>
      <c r="F16" s="314"/>
      <c r="G16" s="314"/>
      <c r="H16" s="314"/>
      <c r="I16" s="314"/>
      <c r="J16" s="315"/>
      <c r="K16" s="271" t="s">
        <v>279</v>
      </c>
      <c r="M16" s="272" t="s">
        <v>442</v>
      </c>
      <c r="N16" s="273"/>
      <c r="O16" s="274"/>
      <c r="P16" s="273"/>
      <c r="Q16" s="275"/>
      <c r="R16" s="16"/>
    </row>
    <row r="17" spans="2:21" s="17" customFormat="1" ht="60" customHeight="1" x14ac:dyDescent="0.2">
      <c r="B17" s="15"/>
      <c r="C17" s="22" t="s">
        <v>388</v>
      </c>
      <c r="D17" s="313" t="s">
        <v>389</v>
      </c>
      <c r="E17" s="314"/>
      <c r="F17" s="314"/>
      <c r="G17" s="314"/>
      <c r="H17" s="314"/>
      <c r="I17" s="314"/>
      <c r="J17" s="315"/>
      <c r="K17" s="271" t="s">
        <v>390</v>
      </c>
      <c r="M17" s="272" t="s">
        <v>442</v>
      </c>
      <c r="N17" s="273"/>
      <c r="O17" s="274"/>
      <c r="P17" s="273"/>
      <c r="Q17" s="275"/>
      <c r="R17" s="16"/>
    </row>
    <row r="18" spans="2:21" s="17" customFormat="1" ht="60" customHeight="1" x14ac:dyDescent="0.2">
      <c r="B18" s="15"/>
      <c r="C18" s="22">
        <v>2</v>
      </c>
      <c r="D18" s="313" t="s">
        <v>254</v>
      </c>
      <c r="E18" s="314"/>
      <c r="F18" s="314"/>
      <c r="G18" s="314"/>
      <c r="H18" s="314"/>
      <c r="I18" s="314"/>
      <c r="J18" s="315"/>
      <c r="K18" s="271" t="s">
        <v>280</v>
      </c>
      <c r="M18" s="272" t="s">
        <v>442</v>
      </c>
      <c r="N18" s="273"/>
      <c r="O18" s="274"/>
      <c r="P18" s="273"/>
      <c r="Q18" s="275"/>
      <c r="R18" s="16"/>
    </row>
    <row r="19" spans="2:21" s="17" customFormat="1" ht="60" customHeight="1" x14ac:dyDescent="0.2">
      <c r="B19" s="15"/>
      <c r="C19" s="22">
        <v>3</v>
      </c>
      <c r="D19" s="313" t="s">
        <v>391</v>
      </c>
      <c r="E19" s="314"/>
      <c r="F19" s="314"/>
      <c r="G19" s="314"/>
      <c r="H19" s="314"/>
      <c r="I19" s="314"/>
      <c r="J19" s="315"/>
      <c r="K19" s="271" t="s">
        <v>281</v>
      </c>
      <c r="M19" s="272" t="s">
        <v>442</v>
      </c>
      <c r="N19" s="273"/>
      <c r="O19" s="274"/>
      <c r="P19" s="273"/>
      <c r="Q19" s="275"/>
      <c r="R19" s="16"/>
      <c r="T19" s="23"/>
      <c r="U19" s="23"/>
    </row>
    <row r="20" spans="2:21" s="17" customFormat="1" ht="60" customHeight="1" x14ac:dyDescent="0.2">
      <c r="B20" s="15"/>
      <c r="C20" s="22">
        <v>4</v>
      </c>
      <c r="D20" s="313" t="s">
        <v>246</v>
      </c>
      <c r="E20" s="314"/>
      <c r="F20" s="314"/>
      <c r="G20" s="314"/>
      <c r="H20" s="314"/>
      <c r="I20" s="314"/>
      <c r="J20" s="315"/>
      <c r="K20" s="271" t="s">
        <v>282</v>
      </c>
      <c r="M20" s="272" t="s">
        <v>442</v>
      </c>
      <c r="N20" s="273"/>
      <c r="O20" s="274"/>
      <c r="P20" s="273"/>
      <c r="Q20" s="275"/>
      <c r="R20" s="16"/>
      <c r="T20" s="23"/>
      <c r="U20" s="23"/>
    </row>
    <row r="21" spans="2:21" s="17" customFormat="1" ht="60" customHeight="1" x14ac:dyDescent="0.2">
      <c r="B21" s="15"/>
      <c r="C21" s="22" t="s">
        <v>392</v>
      </c>
      <c r="D21" s="313" t="s">
        <v>393</v>
      </c>
      <c r="E21" s="314"/>
      <c r="F21" s="314"/>
      <c r="G21" s="314"/>
      <c r="H21" s="314"/>
      <c r="I21" s="314"/>
      <c r="J21" s="315"/>
      <c r="K21" s="271" t="s">
        <v>394</v>
      </c>
      <c r="M21" s="272" t="s">
        <v>442</v>
      </c>
      <c r="N21" s="273"/>
      <c r="O21" s="274"/>
      <c r="P21" s="273"/>
      <c r="Q21" s="275"/>
      <c r="R21" s="16"/>
      <c r="T21" s="23"/>
      <c r="U21" s="23"/>
    </row>
    <row r="22" spans="2:21" s="17" customFormat="1" ht="60" customHeight="1" x14ac:dyDescent="0.2">
      <c r="B22" s="15"/>
      <c r="C22" s="24">
        <v>5</v>
      </c>
      <c r="D22" s="313" t="s">
        <v>263</v>
      </c>
      <c r="E22" s="314"/>
      <c r="F22" s="314"/>
      <c r="G22" s="314"/>
      <c r="H22" s="314"/>
      <c r="I22" s="314"/>
      <c r="J22" s="315"/>
      <c r="K22" s="271" t="s">
        <v>283</v>
      </c>
      <c r="M22" s="272" t="s">
        <v>442</v>
      </c>
      <c r="N22" s="273"/>
      <c r="O22" s="274"/>
      <c r="P22" s="273"/>
      <c r="Q22" s="275"/>
      <c r="R22" s="16"/>
    </row>
    <row r="23" spans="2:21" s="17" customFormat="1" ht="60" customHeight="1" x14ac:dyDescent="0.2">
      <c r="B23" s="15"/>
      <c r="C23" s="24">
        <v>6</v>
      </c>
      <c r="D23" s="313" t="s">
        <v>247</v>
      </c>
      <c r="E23" s="314"/>
      <c r="F23" s="314"/>
      <c r="G23" s="314"/>
      <c r="H23" s="314"/>
      <c r="I23" s="314"/>
      <c r="J23" s="315"/>
      <c r="K23" s="271" t="s">
        <v>284</v>
      </c>
      <c r="M23" s="272" t="s">
        <v>442</v>
      </c>
      <c r="N23" s="273"/>
      <c r="O23" s="274"/>
      <c r="P23" s="273"/>
      <c r="Q23" s="275"/>
      <c r="R23" s="16"/>
    </row>
    <row r="24" spans="2:21" s="17" customFormat="1" ht="60" customHeight="1" x14ac:dyDescent="0.2">
      <c r="B24" s="15"/>
      <c r="C24" s="24">
        <v>7</v>
      </c>
      <c r="D24" s="313" t="s">
        <v>249</v>
      </c>
      <c r="E24" s="314"/>
      <c r="F24" s="314"/>
      <c r="G24" s="314"/>
      <c r="H24" s="314"/>
      <c r="I24" s="314"/>
      <c r="J24" s="315"/>
      <c r="K24" s="271" t="s">
        <v>285</v>
      </c>
      <c r="M24" s="272">
        <v>3</v>
      </c>
      <c r="N24" s="273"/>
      <c r="O24" s="274"/>
      <c r="P24" s="273"/>
      <c r="Q24" s="275" t="s">
        <v>443</v>
      </c>
      <c r="R24" s="16"/>
    </row>
    <row r="25" spans="2:21" s="17" customFormat="1" ht="60" customHeight="1" x14ac:dyDescent="0.2">
      <c r="B25" s="15"/>
      <c r="C25" s="24" t="s">
        <v>395</v>
      </c>
      <c r="D25" s="313" t="s">
        <v>275</v>
      </c>
      <c r="E25" s="314"/>
      <c r="F25" s="314"/>
      <c r="G25" s="314"/>
      <c r="H25" s="314"/>
      <c r="I25" s="314"/>
      <c r="J25" s="315"/>
      <c r="K25" s="271" t="s">
        <v>396</v>
      </c>
      <c r="M25" s="272" t="s">
        <v>442</v>
      </c>
      <c r="N25" s="273"/>
      <c r="O25" s="274"/>
      <c r="P25" s="273"/>
      <c r="Q25" s="275"/>
      <c r="R25" s="16"/>
    </row>
    <row r="26" spans="2:21" s="17" customFormat="1" ht="60" customHeight="1" x14ac:dyDescent="0.2">
      <c r="B26" s="15"/>
      <c r="C26" s="24">
        <v>8</v>
      </c>
      <c r="D26" s="313" t="s">
        <v>397</v>
      </c>
      <c r="E26" s="314"/>
      <c r="F26" s="314"/>
      <c r="G26" s="314"/>
      <c r="H26" s="314"/>
      <c r="I26" s="314"/>
      <c r="J26" s="315"/>
      <c r="K26" s="271" t="s">
        <v>286</v>
      </c>
      <c r="M26" s="272" t="s">
        <v>442</v>
      </c>
      <c r="N26" s="273"/>
      <c r="O26" s="274"/>
      <c r="P26" s="273"/>
      <c r="Q26" s="275"/>
      <c r="R26" s="16"/>
    </row>
    <row r="27" spans="2:21" s="17" customFormat="1" ht="60" customHeight="1" x14ac:dyDescent="0.2">
      <c r="B27" s="15"/>
      <c r="C27" s="24" t="s">
        <v>398</v>
      </c>
      <c r="D27" s="313" t="s">
        <v>399</v>
      </c>
      <c r="E27" s="314"/>
      <c r="F27" s="314"/>
      <c r="G27" s="314"/>
      <c r="H27" s="314"/>
      <c r="I27" s="314"/>
      <c r="J27" s="315"/>
      <c r="K27" s="271" t="s">
        <v>286</v>
      </c>
      <c r="M27" s="272"/>
      <c r="N27" s="273"/>
      <c r="O27" s="274"/>
      <c r="P27" s="273"/>
      <c r="Q27" s="275"/>
      <c r="R27" s="16"/>
    </row>
    <row r="28" spans="2:21" s="17" customFormat="1" ht="60" customHeight="1" x14ac:dyDescent="0.2">
      <c r="B28" s="15"/>
      <c r="C28" s="24" t="s">
        <v>400</v>
      </c>
      <c r="D28" s="313" t="s">
        <v>401</v>
      </c>
      <c r="E28" s="314"/>
      <c r="F28" s="314"/>
      <c r="G28" s="314"/>
      <c r="H28" s="314"/>
      <c r="I28" s="314"/>
      <c r="J28" s="315"/>
      <c r="K28" s="271" t="s">
        <v>286</v>
      </c>
      <c r="M28" s="272">
        <v>100</v>
      </c>
      <c r="N28" s="273"/>
      <c r="O28" s="274"/>
      <c r="P28" s="273"/>
      <c r="Q28" s="275"/>
      <c r="R28" s="16"/>
    </row>
    <row r="29" spans="2:21" s="17" customFormat="1" ht="60" customHeight="1" x14ac:dyDescent="0.2">
      <c r="B29" s="15"/>
      <c r="C29" s="24">
        <v>9</v>
      </c>
      <c r="D29" s="313" t="s">
        <v>250</v>
      </c>
      <c r="E29" s="314"/>
      <c r="F29" s="314"/>
      <c r="G29" s="314"/>
      <c r="H29" s="314"/>
      <c r="I29" s="314"/>
      <c r="J29" s="315"/>
      <c r="K29" s="271" t="s">
        <v>287</v>
      </c>
      <c r="M29" s="272" t="s">
        <v>442</v>
      </c>
      <c r="N29" s="273"/>
      <c r="O29" s="274"/>
      <c r="P29" s="273"/>
      <c r="Q29" s="275"/>
      <c r="R29" s="16"/>
    </row>
    <row r="30" spans="2:21" s="17" customFormat="1" ht="60" customHeight="1" x14ac:dyDescent="0.2">
      <c r="B30" s="15"/>
      <c r="C30" s="24">
        <v>10</v>
      </c>
      <c r="D30" s="313" t="s">
        <v>251</v>
      </c>
      <c r="E30" s="314"/>
      <c r="F30" s="314"/>
      <c r="G30" s="314"/>
      <c r="H30" s="314"/>
      <c r="I30" s="314"/>
      <c r="J30" s="315"/>
      <c r="K30" s="271" t="s">
        <v>288</v>
      </c>
      <c r="M30" s="272" t="s">
        <v>442</v>
      </c>
      <c r="N30" s="273"/>
      <c r="O30" s="274"/>
      <c r="P30" s="273"/>
      <c r="Q30" s="275"/>
      <c r="R30" s="16"/>
    </row>
    <row r="31" spans="2:21" s="17" customFormat="1" ht="60" customHeight="1" x14ac:dyDescent="0.2">
      <c r="B31" s="15"/>
      <c r="C31" s="24">
        <v>11</v>
      </c>
      <c r="D31" s="313" t="s">
        <v>402</v>
      </c>
      <c r="E31" s="314"/>
      <c r="F31" s="314"/>
      <c r="G31" s="314"/>
      <c r="H31" s="314"/>
      <c r="I31" s="314"/>
      <c r="J31" s="315"/>
      <c r="K31" s="271" t="s">
        <v>289</v>
      </c>
      <c r="M31" s="272" t="s">
        <v>442</v>
      </c>
      <c r="N31" s="273"/>
      <c r="O31" s="274"/>
      <c r="P31" s="273"/>
      <c r="Q31" s="275"/>
      <c r="R31" s="16"/>
    </row>
    <row r="32" spans="2:21" s="17" customFormat="1" ht="60" customHeight="1" x14ac:dyDescent="0.2">
      <c r="B32" s="15"/>
      <c r="C32" s="24" t="s">
        <v>403</v>
      </c>
      <c r="D32" s="313" t="s">
        <v>404</v>
      </c>
      <c r="E32" s="314"/>
      <c r="F32" s="314"/>
      <c r="G32" s="314"/>
      <c r="H32" s="314"/>
      <c r="I32" s="314"/>
      <c r="J32" s="315"/>
      <c r="K32" s="271" t="s">
        <v>289</v>
      </c>
      <c r="M32" s="272" t="s">
        <v>442</v>
      </c>
      <c r="N32" s="273"/>
      <c r="O32" s="274"/>
      <c r="P32" s="273"/>
      <c r="Q32" s="275"/>
      <c r="R32" s="16"/>
    </row>
    <row r="33" spans="2:21" s="17" customFormat="1" ht="60" customHeight="1" x14ac:dyDescent="0.2">
      <c r="B33" s="15"/>
      <c r="C33" s="24" t="s">
        <v>405</v>
      </c>
      <c r="D33" s="313" t="s">
        <v>406</v>
      </c>
      <c r="E33" s="314"/>
      <c r="F33" s="314"/>
      <c r="G33" s="314"/>
      <c r="H33" s="314"/>
      <c r="I33" s="314"/>
      <c r="J33" s="315"/>
      <c r="K33" s="271" t="s">
        <v>289</v>
      </c>
      <c r="M33" s="272">
        <v>4</v>
      </c>
      <c r="N33" s="273"/>
      <c r="O33" s="274"/>
      <c r="P33" s="273"/>
      <c r="Q33" s="275"/>
      <c r="R33" s="16"/>
    </row>
    <row r="34" spans="2:21" s="17" customFormat="1" ht="60" customHeight="1" x14ac:dyDescent="0.2">
      <c r="B34" s="15"/>
      <c r="C34" s="24">
        <v>12</v>
      </c>
      <c r="D34" s="313" t="s">
        <v>407</v>
      </c>
      <c r="E34" s="314"/>
      <c r="F34" s="314"/>
      <c r="G34" s="314"/>
      <c r="H34" s="314"/>
      <c r="I34" s="314"/>
      <c r="J34" s="315"/>
      <c r="K34" s="271" t="s">
        <v>290</v>
      </c>
      <c r="M34" s="272" t="s">
        <v>442</v>
      </c>
      <c r="N34" s="273"/>
      <c r="O34" s="274"/>
      <c r="P34" s="273"/>
      <c r="Q34" s="275"/>
      <c r="R34" s="16"/>
    </row>
    <row r="35" spans="2:21" s="17" customFormat="1" ht="60" customHeight="1" x14ac:dyDescent="0.2">
      <c r="B35" s="15"/>
      <c r="C35" s="24">
        <v>13</v>
      </c>
      <c r="D35" s="313" t="s">
        <v>408</v>
      </c>
      <c r="E35" s="314"/>
      <c r="F35" s="314"/>
      <c r="G35" s="314"/>
      <c r="H35" s="314"/>
      <c r="I35" s="314"/>
      <c r="J35" s="315"/>
      <c r="K35" s="271" t="s">
        <v>291</v>
      </c>
      <c r="M35" s="272" t="s">
        <v>442</v>
      </c>
      <c r="N35" s="273"/>
      <c r="O35" s="274"/>
      <c r="P35" s="273"/>
      <c r="Q35" s="275"/>
      <c r="R35" s="16"/>
    </row>
    <row r="36" spans="2:21" s="17" customFormat="1" ht="60" customHeight="1" x14ac:dyDescent="0.2">
      <c r="B36" s="15"/>
      <c r="C36" s="24">
        <v>14</v>
      </c>
      <c r="D36" s="313" t="s">
        <v>252</v>
      </c>
      <c r="E36" s="314"/>
      <c r="F36" s="314"/>
      <c r="G36" s="314"/>
      <c r="H36" s="314"/>
      <c r="I36" s="314"/>
      <c r="J36" s="315"/>
      <c r="K36" s="271" t="s">
        <v>292</v>
      </c>
      <c r="M36" s="272" t="s">
        <v>442</v>
      </c>
      <c r="N36" s="273"/>
      <c r="O36" s="274"/>
      <c r="P36" s="273"/>
      <c r="Q36" s="275"/>
      <c r="R36" s="16"/>
    </row>
    <row r="37" spans="2:21" s="17" customFormat="1" ht="15.75" x14ac:dyDescent="0.25">
      <c r="B37" s="15"/>
      <c r="K37" s="263"/>
      <c r="M37" s="129" t="s">
        <v>409</v>
      </c>
      <c r="R37" s="16"/>
    </row>
    <row r="38" spans="2:21" s="17" customFormat="1" ht="15.75" x14ac:dyDescent="0.2">
      <c r="B38" s="15"/>
      <c r="C38" s="316" t="s">
        <v>271</v>
      </c>
      <c r="D38" s="316"/>
      <c r="E38" s="316"/>
      <c r="F38" s="316"/>
      <c r="G38" s="316"/>
      <c r="H38" s="316"/>
      <c r="I38" s="316"/>
      <c r="J38" s="316"/>
      <c r="K38" s="316"/>
      <c r="L38" s="316"/>
      <c r="M38" s="316"/>
      <c r="N38" s="316"/>
      <c r="O38" s="316"/>
      <c r="P38" s="316"/>
      <c r="Q38" s="316"/>
      <c r="R38" s="16"/>
    </row>
    <row r="39" spans="2:21" s="17" customFormat="1" ht="4.3499999999999996" customHeight="1" x14ac:dyDescent="0.25">
      <c r="B39" s="15"/>
      <c r="F39" s="269"/>
      <c r="G39" s="269"/>
      <c r="H39" s="269"/>
      <c r="I39" s="269"/>
      <c r="J39" s="269"/>
      <c r="K39" s="270"/>
      <c r="L39" s="269"/>
      <c r="M39" s="269"/>
      <c r="N39" s="269"/>
      <c r="O39" s="269"/>
      <c r="P39" s="269"/>
      <c r="Q39" s="269"/>
      <c r="R39" s="16"/>
    </row>
    <row r="40" spans="2:21" s="17" customFormat="1" ht="60" customHeight="1" x14ac:dyDescent="0.2">
      <c r="B40" s="15"/>
      <c r="C40" s="276">
        <v>15</v>
      </c>
      <c r="D40" s="313" t="s">
        <v>410</v>
      </c>
      <c r="E40" s="314"/>
      <c r="F40" s="314"/>
      <c r="G40" s="314"/>
      <c r="H40" s="314"/>
      <c r="I40" s="314"/>
      <c r="J40" s="315"/>
      <c r="K40" s="271" t="s">
        <v>293</v>
      </c>
      <c r="M40" s="216" t="s">
        <v>442</v>
      </c>
      <c r="N40" s="273"/>
      <c r="O40" s="274"/>
      <c r="P40" s="273"/>
      <c r="Q40" s="275"/>
      <c r="R40" s="16"/>
    </row>
    <row r="41" spans="2:21" s="17" customFormat="1" ht="60" customHeight="1" x14ac:dyDescent="0.2">
      <c r="B41" s="15"/>
      <c r="C41" s="276" t="s">
        <v>411</v>
      </c>
      <c r="D41" s="313" t="s">
        <v>412</v>
      </c>
      <c r="E41" s="314"/>
      <c r="F41" s="314"/>
      <c r="G41" s="314"/>
      <c r="H41" s="314"/>
      <c r="I41" s="314"/>
      <c r="J41" s="315"/>
      <c r="K41" s="271" t="s">
        <v>413</v>
      </c>
      <c r="M41" s="216" t="s">
        <v>442</v>
      </c>
      <c r="N41" s="273"/>
      <c r="O41" s="274"/>
      <c r="P41" s="273"/>
      <c r="Q41" s="275" t="s">
        <v>444</v>
      </c>
      <c r="R41" s="16"/>
    </row>
    <row r="42" spans="2:21" s="17" customFormat="1" ht="60" customHeight="1" x14ac:dyDescent="0.2">
      <c r="B42" s="15"/>
      <c r="C42" s="276">
        <v>16</v>
      </c>
      <c r="D42" s="313" t="s">
        <v>253</v>
      </c>
      <c r="E42" s="314"/>
      <c r="F42" s="314"/>
      <c r="G42" s="314"/>
      <c r="H42" s="314"/>
      <c r="I42" s="314"/>
      <c r="J42" s="315"/>
      <c r="K42" s="271" t="s">
        <v>294</v>
      </c>
      <c r="M42" s="216" t="s">
        <v>442</v>
      </c>
      <c r="N42" s="273"/>
      <c r="O42" s="274"/>
      <c r="P42" s="273"/>
      <c r="Q42" s="275"/>
      <c r="R42" s="16"/>
    </row>
    <row r="43" spans="2:21" s="17" customFormat="1" ht="60" customHeight="1" x14ac:dyDescent="0.2">
      <c r="B43" s="15"/>
      <c r="C43" s="276">
        <v>17</v>
      </c>
      <c r="D43" s="313" t="s">
        <v>414</v>
      </c>
      <c r="E43" s="314"/>
      <c r="F43" s="314"/>
      <c r="G43" s="314"/>
      <c r="H43" s="314"/>
      <c r="I43" s="314"/>
      <c r="J43" s="315"/>
      <c r="K43" s="271" t="s">
        <v>295</v>
      </c>
      <c r="M43" s="216" t="s">
        <v>442</v>
      </c>
      <c r="N43" s="273"/>
      <c r="O43" s="274"/>
      <c r="P43" s="273"/>
      <c r="Q43" s="275"/>
      <c r="R43" s="16"/>
    </row>
    <row r="44" spans="2:21" s="17" customFormat="1" ht="60" customHeight="1" x14ac:dyDescent="0.2">
      <c r="B44" s="15"/>
      <c r="C44" s="276">
        <v>18</v>
      </c>
      <c r="D44" s="313" t="s">
        <v>255</v>
      </c>
      <c r="E44" s="314"/>
      <c r="F44" s="314"/>
      <c r="G44" s="314"/>
      <c r="H44" s="314"/>
      <c r="I44" s="314"/>
      <c r="J44" s="315"/>
      <c r="K44" s="271" t="s">
        <v>296</v>
      </c>
      <c r="M44" s="216" t="s">
        <v>442</v>
      </c>
      <c r="N44" s="273"/>
      <c r="O44" s="274"/>
      <c r="P44" s="273"/>
      <c r="Q44" s="275"/>
      <c r="R44" s="16"/>
    </row>
    <row r="45" spans="2:21" s="17" customFormat="1" ht="60" customHeight="1" x14ac:dyDescent="0.2">
      <c r="B45" s="15"/>
      <c r="C45" s="276">
        <v>19</v>
      </c>
      <c r="D45" s="313" t="s">
        <v>276</v>
      </c>
      <c r="E45" s="314"/>
      <c r="F45" s="314"/>
      <c r="G45" s="314"/>
      <c r="H45" s="314"/>
      <c r="I45" s="314"/>
      <c r="J45" s="315"/>
      <c r="K45" s="271" t="s">
        <v>297</v>
      </c>
      <c r="M45" s="272" t="s">
        <v>445</v>
      </c>
      <c r="N45" s="273"/>
      <c r="O45" s="274"/>
      <c r="P45" s="273"/>
      <c r="Q45" s="275"/>
      <c r="R45" s="16"/>
      <c r="T45" s="23"/>
      <c r="U45" s="23"/>
    </row>
    <row r="46" spans="2:21" s="17" customFormat="1" ht="60" customHeight="1" x14ac:dyDescent="0.2">
      <c r="B46" s="15"/>
      <c r="C46" s="276">
        <v>20</v>
      </c>
      <c r="D46" s="313" t="s">
        <v>277</v>
      </c>
      <c r="E46" s="314"/>
      <c r="F46" s="314"/>
      <c r="G46" s="314"/>
      <c r="H46" s="314"/>
      <c r="I46" s="314"/>
      <c r="J46" s="315"/>
      <c r="K46" s="271" t="s">
        <v>298</v>
      </c>
      <c r="M46" s="216" t="s">
        <v>442</v>
      </c>
      <c r="N46" s="273"/>
      <c r="O46" s="274"/>
      <c r="P46" s="273"/>
      <c r="Q46" s="275"/>
      <c r="R46" s="16"/>
      <c r="T46" s="23"/>
      <c r="U46" s="23"/>
    </row>
    <row r="47" spans="2:21" s="17" customFormat="1" ht="60" customHeight="1" x14ac:dyDescent="0.2">
      <c r="B47" s="15"/>
      <c r="C47" s="276">
        <v>21</v>
      </c>
      <c r="D47" s="313" t="s">
        <v>415</v>
      </c>
      <c r="E47" s="314"/>
      <c r="F47" s="314"/>
      <c r="G47" s="314"/>
      <c r="H47" s="314"/>
      <c r="I47" s="314"/>
      <c r="J47" s="315"/>
      <c r="K47" s="271" t="s">
        <v>299</v>
      </c>
      <c r="M47" s="216" t="s">
        <v>442</v>
      </c>
      <c r="N47" s="273"/>
      <c r="O47" s="274"/>
      <c r="P47" s="273"/>
      <c r="Q47" s="275" t="s">
        <v>447</v>
      </c>
      <c r="R47" s="16"/>
      <c r="T47" s="23"/>
      <c r="U47" s="23"/>
    </row>
    <row r="48" spans="2:21" s="17" customFormat="1" ht="60" customHeight="1" x14ac:dyDescent="0.2">
      <c r="B48" s="15"/>
      <c r="C48" s="276" t="s">
        <v>416</v>
      </c>
      <c r="D48" s="313" t="s">
        <v>417</v>
      </c>
      <c r="E48" s="314"/>
      <c r="F48" s="314"/>
      <c r="G48" s="314"/>
      <c r="H48" s="314"/>
      <c r="I48" s="314"/>
      <c r="J48" s="315"/>
      <c r="K48" s="271" t="s">
        <v>418</v>
      </c>
      <c r="M48" s="216" t="s">
        <v>442</v>
      </c>
      <c r="N48" s="273"/>
      <c r="O48" s="274"/>
      <c r="P48" s="273"/>
      <c r="Q48" s="275"/>
      <c r="R48" s="16"/>
      <c r="T48" s="23"/>
      <c r="U48" s="23"/>
    </row>
    <row r="49" spans="2:21" s="17" customFormat="1" ht="60" customHeight="1" x14ac:dyDescent="0.2">
      <c r="B49" s="15"/>
      <c r="C49" s="276">
        <v>22</v>
      </c>
      <c r="D49" s="313" t="s">
        <v>419</v>
      </c>
      <c r="E49" s="314"/>
      <c r="F49" s="314"/>
      <c r="G49" s="314"/>
      <c r="H49" s="314"/>
      <c r="I49" s="314"/>
      <c r="J49" s="315"/>
      <c r="K49" s="271" t="s">
        <v>300</v>
      </c>
      <c r="M49" s="216" t="s">
        <v>442</v>
      </c>
      <c r="N49" s="273"/>
      <c r="O49" s="274"/>
      <c r="P49" s="273"/>
      <c r="Q49" s="275"/>
      <c r="R49" s="16"/>
      <c r="T49" s="23"/>
      <c r="U49" s="23"/>
    </row>
    <row r="50" spans="2:21" s="17" customFormat="1" ht="15.75" x14ac:dyDescent="0.25">
      <c r="B50" s="15"/>
      <c r="K50" s="263"/>
      <c r="M50" s="129" t="s">
        <v>409</v>
      </c>
      <c r="R50" s="16"/>
    </row>
    <row r="51" spans="2:21" s="17" customFormat="1" ht="15.75" x14ac:dyDescent="0.2">
      <c r="B51" s="15"/>
      <c r="C51" s="316" t="s">
        <v>272</v>
      </c>
      <c r="D51" s="316"/>
      <c r="E51" s="316"/>
      <c r="F51" s="316"/>
      <c r="G51" s="316"/>
      <c r="H51" s="316"/>
      <c r="I51" s="316"/>
      <c r="J51" s="316"/>
      <c r="K51" s="316"/>
      <c r="L51" s="316"/>
      <c r="M51" s="316"/>
      <c r="N51" s="316"/>
      <c r="O51" s="316"/>
      <c r="P51" s="316"/>
      <c r="Q51" s="316"/>
      <c r="R51" s="16"/>
    </row>
    <row r="52" spans="2:21" s="17" customFormat="1" ht="4.3499999999999996" customHeight="1" x14ac:dyDescent="0.25">
      <c r="B52" s="15"/>
      <c r="F52" s="269"/>
      <c r="G52" s="269"/>
      <c r="H52" s="269"/>
      <c r="I52" s="269"/>
      <c r="J52" s="269"/>
      <c r="K52" s="270"/>
      <c r="L52" s="269"/>
      <c r="M52" s="269"/>
      <c r="N52" s="269"/>
      <c r="O52" s="269"/>
      <c r="P52" s="269"/>
      <c r="Q52" s="269"/>
      <c r="R52" s="16"/>
    </row>
    <row r="53" spans="2:21" s="17" customFormat="1" ht="60" customHeight="1" x14ac:dyDescent="0.2">
      <c r="B53" s="15"/>
      <c r="C53" s="276">
        <v>23</v>
      </c>
      <c r="D53" s="313" t="s">
        <v>420</v>
      </c>
      <c r="E53" s="314"/>
      <c r="F53" s="314"/>
      <c r="G53" s="314"/>
      <c r="H53" s="314"/>
      <c r="I53" s="314"/>
      <c r="J53" s="315"/>
      <c r="K53" s="271" t="s">
        <v>301</v>
      </c>
      <c r="M53" s="216" t="s">
        <v>442</v>
      </c>
      <c r="N53" s="273"/>
      <c r="O53" s="274"/>
      <c r="P53" s="273"/>
      <c r="Q53" s="275"/>
      <c r="R53" s="16"/>
    </row>
    <row r="54" spans="2:21" s="17" customFormat="1" ht="60" customHeight="1" x14ac:dyDescent="0.2">
      <c r="B54" s="15"/>
      <c r="C54" s="276">
        <v>24</v>
      </c>
      <c r="D54" s="313" t="s">
        <v>256</v>
      </c>
      <c r="E54" s="314"/>
      <c r="F54" s="314"/>
      <c r="G54" s="314"/>
      <c r="H54" s="314"/>
      <c r="I54" s="314"/>
      <c r="J54" s="315"/>
      <c r="K54" s="271" t="s">
        <v>302</v>
      </c>
      <c r="M54" s="216" t="s">
        <v>442</v>
      </c>
      <c r="N54" s="273"/>
      <c r="O54" s="274"/>
      <c r="P54" s="273"/>
      <c r="Q54" s="275"/>
      <c r="R54" s="16"/>
    </row>
    <row r="55" spans="2:21" s="17" customFormat="1" ht="60" customHeight="1" x14ac:dyDescent="0.2">
      <c r="B55" s="15"/>
      <c r="C55" s="276">
        <v>25</v>
      </c>
      <c r="D55" s="313" t="s">
        <v>421</v>
      </c>
      <c r="E55" s="314"/>
      <c r="F55" s="314"/>
      <c r="G55" s="314"/>
      <c r="H55" s="314"/>
      <c r="I55" s="314"/>
      <c r="J55" s="315"/>
      <c r="K55" s="271" t="s">
        <v>303</v>
      </c>
      <c r="M55" s="216" t="s">
        <v>442</v>
      </c>
      <c r="N55" s="273"/>
      <c r="O55" s="274"/>
      <c r="P55" s="273"/>
      <c r="Q55" s="275"/>
      <c r="R55" s="16"/>
    </row>
    <row r="56" spans="2:21" s="17" customFormat="1" ht="60" customHeight="1" x14ac:dyDescent="0.2">
      <c r="B56" s="15"/>
      <c r="C56" s="276">
        <v>26</v>
      </c>
      <c r="D56" s="317" t="s">
        <v>422</v>
      </c>
      <c r="E56" s="318"/>
      <c r="F56" s="318"/>
      <c r="G56" s="318"/>
      <c r="H56" s="318"/>
      <c r="I56" s="318"/>
      <c r="J56" s="319"/>
      <c r="K56" s="271" t="s">
        <v>304</v>
      </c>
      <c r="M56" s="216" t="s">
        <v>442</v>
      </c>
      <c r="N56" s="273"/>
      <c r="O56" s="274"/>
      <c r="P56" s="273"/>
      <c r="Q56" s="275" t="s">
        <v>446</v>
      </c>
      <c r="R56" s="16"/>
      <c r="T56" s="23"/>
      <c r="U56" s="23"/>
    </row>
    <row r="57" spans="2:21" s="17" customFormat="1" ht="60" customHeight="1" x14ac:dyDescent="0.2">
      <c r="B57" s="15"/>
      <c r="C57" s="276">
        <v>27</v>
      </c>
      <c r="D57" s="317" t="s">
        <v>257</v>
      </c>
      <c r="E57" s="318"/>
      <c r="F57" s="318"/>
      <c r="G57" s="318"/>
      <c r="H57" s="318"/>
      <c r="I57" s="318"/>
      <c r="J57" s="319"/>
      <c r="K57" s="271" t="s">
        <v>305</v>
      </c>
      <c r="M57" s="216" t="s">
        <v>442</v>
      </c>
      <c r="N57" s="273"/>
      <c r="O57" s="274"/>
      <c r="P57" s="273"/>
      <c r="Q57" s="275" t="s">
        <v>448</v>
      </c>
      <c r="R57" s="16"/>
    </row>
    <row r="58" spans="2:21" s="17" customFormat="1" ht="15.75" x14ac:dyDescent="0.25">
      <c r="B58" s="15"/>
      <c r="K58" s="263"/>
      <c r="M58" s="129" t="s">
        <v>409</v>
      </c>
      <c r="R58" s="16"/>
    </row>
    <row r="59" spans="2:21" s="17" customFormat="1" ht="15.75" x14ac:dyDescent="0.2">
      <c r="B59" s="15"/>
      <c r="C59" s="316" t="s">
        <v>258</v>
      </c>
      <c r="D59" s="316"/>
      <c r="E59" s="316"/>
      <c r="F59" s="316"/>
      <c r="G59" s="316"/>
      <c r="H59" s="316"/>
      <c r="I59" s="316"/>
      <c r="J59" s="316"/>
      <c r="K59" s="316"/>
      <c r="L59" s="316"/>
      <c r="M59" s="316"/>
      <c r="N59" s="316"/>
      <c r="O59" s="316"/>
      <c r="P59" s="316"/>
      <c r="Q59" s="316"/>
      <c r="R59" s="16"/>
    </row>
    <row r="60" spans="2:21" s="17" customFormat="1" ht="4.3499999999999996" customHeight="1" x14ac:dyDescent="0.25">
      <c r="B60" s="15"/>
      <c r="F60" s="269"/>
      <c r="G60" s="269"/>
      <c r="H60" s="269"/>
      <c r="I60" s="269"/>
      <c r="J60" s="269"/>
      <c r="K60" s="270"/>
      <c r="L60" s="269"/>
      <c r="M60" s="269"/>
      <c r="N60" s="269"/>
      <c r="O60" s="269"/>
      <c r="P60" s="269"/>
      <c r="Q60" s="269"/>
      <c r="R60" s="16"/>
    </row>
    <row r="61" spans="2:21" s="17" customFormat="1" ht="60" customHeight="1" x14ac:dyDescent="0.2">
      <c r="B61" s="15"/>
      <c r="C61" s="276">
        <v>28</v>
      </c>
      <c r="D61" s="313" t="s">
        <v>264</v>
      </c>
      <c r="E61" s="314"/>
      <c r="F61" s="314"/>
      <c r="G61" s="314"/>
      <c r="H61" s="314"/>
      <c r="I61" s="314"/>
      <c r="J61" s="315"/>
      <c r="K61" s="271" t="s">
        <v>306</v>
      </c>
      <c r="M61" s="216" t="s">
        <v>442</v>
      </c>
      <c r="N61" s="273"/>
      <c r="O61" s="274"/>
      <c r="P61" s="273"/>
      <c r="Q61" s="275"/>
      <c r="R61" s="16"/>
    </row>
    <row r="62" spans="2:21" s="17" customFormat="1" ht="60" customHeight="1" x14ac:dyDescent="0.2">
      <c r="B62" s="15"/>
      <c r="C62" s="276">
        <v>29</v>
      </c>
      <c r="D62" s="313" t="s">
        <v>157</v>
      </c>
      <c r="E62" s="314"/>
      <c r="F62" s="314"/>
      <c r="G62" s="314"/>
      <c r="H62" s="314"/>
      <c r="I62" s="314"/>
      <c r="J62" s="315"/>
      <c r="K62" s="271" t="s">
        <v>307</v>
      </c>
      <c r="M62" s="216" t="s">
        <v>442</v>
      </c>
      <c r="N62" s="273"/>
      <c r="O62" s="274"/>
      <c r="P62" s="273"/>
      <c r="Q62" s="275"/>
      <c r="R62" s="16"/>
    </row>
    <row r="63" spans="2:21" s="17" customFormat="1" ht="60" customHeight="1" x14ac:dyDescent="0.2">
      <c r="B63" s="15"/>
      <c r="C63" s="276">
        <v>30</v>
      </c>
      <c r="D63" s="313" t="s">
        <v>259</v>
      </c>
      <c r="E63" s="314"/>
      <c r="F63" s="314"/>
      <c r="G63" s="314"/>
      <c r="H63" s="314"/>
      <c r="I63" s="314"/>
      <c r="J63" s="315"/>
      <c r="K63" s="271" t="s">
        <v>308</v>
      </c>
      <c r="M63" s="216" t="s">
        <v>442</v>
      </c>
      <c r="N63" s="273"/>
      <c r="O63" s="274"/>
      <c r="P63" s="273"/>
      <c r="Q63" s="275" t="s">
        <v>449</v>
      </c>
      <c r="R63" s="16"/>
    </row>
    <row r="64" spans="2:21" s="17" customFormat="1" ht="60" customHeight="1" x14ac:dyDescent="0.2">
      <c r="B64" s="15"/>
      <c r="C64" s="276">
        <v>31</v>
      </c>
      <c r="D64" s="313" t="s">
        <v>423</v>
      </c>
      <c r="E64" s="314"/>
      <c r="F64" s="314"/>
      <c r="G64" s="314"/>
      <c r="H64" s="314"/>
      <c r="I64" s="314"/>
      <c r="J64" s="315"/>
      <c r="K64" s="271" t="s">
        <v>309</v>
      </c>
      <c r="M64" s="216" t="s">
        <v>442</v>
      </c>
      <c r="N64" s="273"/>
      <c r="O64" s="274"/>
      <c r="P64" s="273"/>
      <c r="Q64" s="275"/>
      <c r="R64" s="16"/>
    </row>
    <row r="65" spans="2:21" s="17" customFormat="1" ht="15.75" x14ac:dyDescent="0.25">
      <c r="B65" s="15"/>
      <c r="K65" s="263"/>
      <c r="M65" s="129" t="s">
        <v>409</v>
      </c>
      <c r="R65" s="16"/>
    </row>
    <row r="66" spans="2:21" s="17" customFormat="1" ht="15.75" x14ac:dyDescent="0.2">
      <c r="B66" s="15"/>
      <c r="C66" s="316" t="s">
        <v>273</v>
      </c>
      <c r="D66" s="316"/>
      <c r="E66" s="316"/>
      <c r="F66" s="316"/>
      <c r="G66" s="316"/>
      <c r="H66" s="316"/>
      <c r="I66" s="316"/>
      <c r="J66" s="316"/>
      <c r="K66" s="316"/>
      <c r="L66" s="316"/>
      <c r="M66" s="316"/>
      <c r="N66" s="316"/>
      <c r="O66" s="316"/>
      <c r="P66" s="316"/>
      <c r="Q66" s="316"/>
      <c r="R66" s="16"/>
    </row>
    <row r="67" spans="2:21" s="17" customFormat="1" ht="4.3499999999999996" customHeight="1" x14ac:dyDescent="0.25">
      <c r="B67" s="15"/>
      <c r="F67" s="269"/>
      <c r="G67" s="269"/>
      <c r="H67" s="269"/>
      <c r="I67" s="269"/>
      <c r="J67" s="269"/>
      <c r="K67" s="270"/>
      <c r="L67" s="269"/>
      <c r="M67" s="269"/>
      <c r="N67" s="269"/>
      <c r="O67" s="269"/>
      <c r="P67" s="269"/>
      <c r="Q67" s="269"/>
      <c r="R67" s="16"/>
    </row>
    <row r="68" spans="2:21" s="17" customFormat="1" ht="60" customHeight="1" x14ac:dyDescent="0.2">
      <c r="B68" s="15"/>
      <c r="C68" s="276">
        <v>32</v>
      </c>
      <c r="D68" s="313" t="s">
        <v>424</v>
      </c>
      <c r="E68" s="314"/>
      <c r="F68" s="314"/>
      <c r="G68" s="314"/>
      <c r="H68" s="314"/>
      <c r="I68" s="314"/>
      <c r="J68" s="315"/>
      <c r="K68" s="271" t="s">
        <v>310</v>
      </c>
      <c r="M68" s="216" t="s">
        <v>442</v>
      </c>
      <c r="N68" s="273"/>
      <c r="O68" s="274"/>
      <c r="P68" s="273"/>
      <c r="Q68" s="275"/>
      <c r="R68" s="16"/>
    </row>
    <row r="69" spans="2:21" s="17" customFormat="1" ht="60" customHeight="1" x14ac:dyDescent="0.2">
      <c r="B69" s="15"/>
      <c r="C69" s="276">
        <v>33</v>
      </c>
      <c r="D69" s="313" t="s">
        <v>260</v>
      </c>
      <c r="E69" s="314"/>
      <c r="F69" s="314"/>
      <c r="G69" s="314"/>
      <c r="H69" s="314"/>
      <c r="I69" s="314"/>
      <c r="J69" s="315"/>
      <c r="K69" s="271" t="s">
        <v>311</v>
      </c>
      <c r="M69" s="216" t="s">
        <v>442</v>
      </c>
      <c r="N69" s="273"/>
      <c r="O69" s="274"/>
      <c r="P69" s="273"/>
      <c r="Q69" s="275"/>
      <c r="R69" s="16"/>
      <c r="T69" s="23"/>
      <c r="U69" s="23"/>
    </row>
    <row r="70" spans="2:21" s="17" customFormat="1" ht="60" customHeight="1" x14ac:dyDescent="0.2">
      <c r="B70" s="15"/>
      <c r="C70" s="276">
        <v>34</v>
      </c>
      <c r="D70" s="313" t="s">
        <v>265</v>
      </c>
      <c r="E70" s="314"/>
      <c r="F70" s="314"/>
      <c r="G70" s="314"/>
      <c r="H70" s="314"/>
      <c r="I70" s="314"/>
      <c r="J70" s="315"/>
      <c r="K70" s="271" t="s">
        <v>312</v>
      </c>
      <c r="M70" s="216" t="s">
        <v>450</v>
      </c>
      <c r="N70" s="273"/>
      <c r="O70" s="274"/>
      <c r="P70" s="273"/>
      <c r="Q70" s="275" t="s">
        <v>456</v>
      </c>
      <c r="R70" s="16"/>
      <c r="T70" s="23"/>
      <c r="U70" s="23"/>
    </row>
    <row r="71" spans="2:21" s="17" customFormat="1" ht="60" customHeight="1" x14ac:dyDescent="0.2">
      <c r="B71" s="15"/>
      <c r="C71" s="276">
        <v>35</v>
      </c>
      <c r="D71" s="313" t="s">
        <v>266</v>
      </c>
      <c r="E71" s="314"/>
      <c r="F71" s="314"/>
      <c r="G71" s="314"/>
      <c r="H71" s="314"/>
      <c r="I71" s="314"/>
      <c r="J71" s="315"/>
      <c r="K71" s="271" t="s">
        <v>313</v>
      </c>
      <c r="M71" s="216" t="s">
        <v>450</v>
      </c>
      <c r="N71" s="273"/>
      <c r="O71" s="274"/>
      <c r="P71" s="273"/>
      <c r="Q71" s="275" t="s">
        <v>451</v>
      </c>
      <c r="R71" s="16"/>
      <c r="T71" s="23"/>
      <c r="U71" s="23"/>
    </row>
    <row r="72" spans="2:21" s="17" customFormat="1" ht="60" customHeight="1" x14ac:dyDescent="0.2">
      <c r="B72" s="15"/>
      <c r="C72" s="276">
        <v>36</v>
      </c>
      <c r="D72" s="313" t="s">
        <v>278</v>
      </c>
      <c r="E72" s="314"/>
      <c r="F72" s="314"/>
      <c r="G72" s="314"/>
      <c r="H72" s="314"/>
      <c r="I72" s="314"/>
      <c r="J72" s="315"/>
      <c r="K72" s="271" t="s">
        <v>314</v>
      </c>
      <c r="M72" s="216" t="s">
        <v>450</v>
      </c>
      <c r="N72" s="273"/>
      <c r="O72" s="274"/>
      <c r="P72" s="273"/>
      <c r="Q72" s="275" t="s">
        <v>452</v>
      </c>
      <c r="R72" s="16"/>
    </row>
    <row r="73" spans="2:21" s="17" customFormat="1" ht="15.75" x14ac:dyDescent="0.25">
      <c r="B73" s="15"/>
      <c r="K73" s="263"/>
      <c r="M73" s="129" t="s">
        <v>409</v>
      </c>
      <c r="R73" s="16"/>
    </row>
    <row r="74" spans="2:21" s="17" customFormat="1" ht="15.75" x14ac:dyDescent="0.2">
      <c r="B74" s="15"/>
      <c r="C74" s="316" t="s">
        <v>270</v>
      </c>
      <c r="D74" s="316"/>
      <c r="E74" s="316"/>
      <c r="F74" s="316"/>
      <c r="G74" s="316"/>
      <c r="H74" s="316"/>
      <c r="I74" s="316"/>
      <c r="J74" s="316"/>
      <c r="K74" s="316"/>
      <c r="L74" s="316"/>
      <c r="M74" s="316"/>
      <c r="N74" s="316"/>
      <c r="O74" s="316"/>
      <c r="P74" s="316"/>
      <c r="Q74" s="316"/>
      <c r="R74" s="16"/>
    </row>
    <row r="75" spans="2:21" s="17" customFormat="1" ht="4.3499999999999996" customHeight="1" x14ac:dyDescent="0.25">
      <c r="B75" s="15"/>
      <c r="F75" s="269"/>
      <c r="G75" s="269"/>
      <c r="H75" s="269"/>
      <c r="I75" s="269"/>
      <c r="J75" s="269"/>
      <c r="K75" s="270"/>
      <c r="L75" s="269"/>
      <c r="M75" s="269"/>
      <c r="N75" s="269"/>
      <c r="O75" s="269"/>
      <c r="P75" s="269"/>
      <c r="Q75" s="269"/>
      <c r="R75" s="16"/>
    </row>
    <row r="76" spans="2:21" s="17" customFormat="1" ht="60" customHeight="1" x14ac:dyDescent="0.2">
      <c r="B76" s="15"/>
      <c r="C76" s="276">
        <v>37</v>
      </c>
      <c r="D76" s="313" t="s">
        <v>267</v>
      </c>
      <c r="E76" s="314"/>
      <c r="F76" s="314"/>
      <c r="G76" s="314"/>
      <c r="H76" s="314"/>
      <c r="I76" s="314"/>
      <c r="J76" s="315"/>
      <c r="K76" s="271" t="s">
        <v>315</v>
      </c>
      <c r="M76" s="216" t="s">
        <v>442</v>
      </c>
      <c r="N76" s="273"/>
      <c r="O76" s="274"/>
      <c r="P76" s="273"/>
      <c r="Q76" s="275"/>
      <c r="R76" s="16"/>
    </row>
    <row r="77" spans="2:21" s="17" customFormat="1" ht="60" customHeight="1" x14ac:dyDescent="0.2">
      <c r="B77" s="15"/>
      <c r="C77" s="276">
        <v>38</v>
      </c>
      <c r="D77" s="313" t="s">
        <v>261</v>
      </c>
      <c r="E77" s="314"/>
      <c r="F77" s="314"/>
      <c r="G77" s="314"/>
      <c r="H77" s="314"/>
      <c r="I77" s="314"/>
      <c r="J77" s="315"/>
      <c r="K77" s="271" t="s">
        <v>425</v>
      </c>
      <c r="M77" s="216" t="s">
        <v>442</v>
      </c>
      <c r="N77" s="273"/>
      <c r="O77" s="274"/>
      <c r="P77" s="273"/>
      <c r="Q77" s="275"/>
      <c r="R77" s="16"/>
    </row>
    <row r="78" spans="2:21" s="17" customFormat="1" ht="60" customHeight="1" x14ac:dyDescent="0.2">
      <c r="B78" s="15"/>
      <c r="C78" s="276">
        <v>39</v>
      </c>
      <c r="D78" s="313" t="s">
        <v>426</v>
      </c>
      <c r="E78" s="314"/>
      <c r="F78" s="314"/>
      <c r="G78" s="314"/>
      <c r="H78" s="314"/>
      <c r="I78" s="314"/>
      <c r="J78" s="315"/>
      <c r="K78" s="271" t="s">
        <v>427</v>
      </c>
      <c r="M78" s="216" t="s">
        <v>442</v>
      </c>
      <c r="N78" s="273"/>
      <c r="O78" s="274"/>
      <c r="P78" s="273"/>
      <c r="Q78" s="275"/>
      <c r="R78" s="16"/>
      <c r="T78" s="23"/>
      <c r="U78" s="23"/>
    </row>
    <row r="79" spans="2:21" s="17" customFormat="1" ht="60" customHeight="1" x14ac:dyDescent="0.2">
      <c r="B79" s="15"/>
      <c r="C79" s="276">
        <v>40</v>
      </c>
      <c r="D79" s="313" t="s">
        <v>269</v>
      </c>
      <c r="E79" s="314"/>
      <c r="F79" s="314"/>
      <c r="G79" s="314"/>
      <c r="H79" s="314"/>
      <c r="I79" s="314"/>
      <c r="J79" s="315"/>
      <c r="K79" s="271" t="s">
        <v>428</v>
      </c>
      <c r="M79" s="216" t="s">
        <v>442</v>
      </c>
      <c r="N79" s="273"/>
      <c r="O79" s="274"/>
      <c r="P79" s="273"/>
      <c r="Q79" s="275"/>
      <c r="R79" s="16"/>
    </row>
    <row r="80" spans="2:21" s="17" customFormat="1" ht="60" customHeight="1" x14ac:dyDescent="0.2">
      <c r="B80" s="15"/>
      <c r="C80" s="276">
        <v>41</v>
      </c>
      <c r="D80" s="313" t="s">
        <v>268</v>
      </c>
      <c r="E80" s="314"/>
      <c r="F80" s="314"/>
      <c r="G80" s="314"/>
      <c r="H80" s="314"/>
      <c r="I80" s="314"/>
      <c r="J80" s="315"/>
      <c r="K80" s="271" t="s">
        <v>429</v>
      </c>
      <c r="M80" s="216" t="s">
        <v>442</v>
      </c>
      <c r="N80" s="273"/>
      <c r="O80" s="274"/>
      <c r="P80" s="273"/>
      <c r="Q80" s="275" t="s">
        <v>453</v>
      </c>
      <c r="R80" s="16"/>
    </row>
    <row r="81" spans="2:21" s="17" customFormat="1" ht="15.75" x14ac:dyDescent="0.25">
      <c r="B81" s="15"/>
      <c r="K81" s="263"/>
      <c r="M81" s="129" t="s">
        <v>409</v>
      </c>
      <c r="R81" s="16"/>
    </row>
    <row r="82" spans="2:21" s="17" customFormat="1" ht="15.75" x14ac:dyDescent="0.2">
      <c r="B82" s="15"/>
      <c r="C82" s="316" t="s">
        <v>158</v>
      </c>
      <c r="D82" s="316"/>
      <c r="E82" s="316"/>
      <c r="F82" s="316"/>
      <c r="G82" s="316"/>
      <c r="H82" s="316"/>
      <c r="I82" s="316"/>
      <c r="J82" s="316"/>
      <c r="K82" s="316"/>
      <c r="L82" s="316"/>
      <c r="M82" s="316"/>
      <c r="N82" s="316"/>
      <c r="O82" s="316"/>
      <c r="P82" s="316"/>
      <c r="Q82" s="316"/>
      <c r="R82" s="16"/>
    </row>
    <row r="83" spans="2:21" s="17" customFormat="1" ht="4.3499999999999996" customHeight="1" x14ac:dyDescent="0.25">
      <c r="B83" s="15"/>
      <c r="F83" s="269"/>
      <c r="G83" s="269"/>
      <c r="H83" s="269"/>
      <c r="I83" s="269"/>
      <c r="J83" s="269"/>
      <c r="K83" s="270"/>
      <c r="L83" s="269"/>
      <c r="M83" s="269"/>
      <c r="N83" s="269"/>
      <c r="O83" s="269"/>
      <c r="P83" s="269"/>
      <c r="Q83" s="269"/>
      <c r="R83" s="16"/>
    </row>
    <row r="84" spans="2:21" s="17" customFormat="1" ht="60" customHeight="1" x14ac:dyDescent="0.2">
      <c r="B84" s="15"/>
      <c r="C84" s="276">
        <v>42</v>
      </c>
      <c r="D84" s="313" t="s">
        <v>430</v>
      </c>
      <c r="E84" s="314"/>
      <c r="F84" s="314"/>
      <c r="G84" s="314"/>
      <c r="H84" s="314"/>
      <c r="I84" s="314"/>
      <c r="J84" s="315"/>
      <c r="K84" s="271" t="s">
        <v>431</v>
      </c>
      <c r="M84" s="216" t="s">
        <v>442</v>
      </c>
      <c r="N84" s="273"/>
      <c r="O84" s="274"/>
      <c r="P84" s="273"/>
      <c r="Q84" s="275"/>
      <c r="R84" s="16"/>
    </row>
    <row r="85" spans="2:21" s="17" customFormat="1" ht="15.6" customHeight="1" thickBot="1" x14ac:dyDescent="0.25">
      <c r="B85" s="25"/>
      <c r="C85" s="26"/>
      <c r="D85" s="26"/>
      <c r="E85" s="26"/>
      <c r="F85" s="26"/>
      <c r="G85" s="26"/>
      <c r="H85" s="26"/>
      <c r="I85" s="26"/>
      <c r="J85" s="26"/>
      <c r="K85" s="277"/>
      <c r="L85" s="28"/>
      <c r="M85" s="29"/>
      <c r="N85" s="30"/>
      <c r="O85" s="30"/>
      <c r="P85" s="30"/>
      <c r="Q85" s="31"/>
      <c r="R85" s="32"/>
    </row>
    <row r="86" spans="2:21" ht="39.6" customHeight="1" x14ac:dyDescent="0.2">
      <c r="C86" s="337"/>
      <c r="D86" s="337"/>
      <c r="E86" s="337"/>
      <c r="F86" s="337"/>
      <c r="G86" s="337"/>
      <c r="H86" s="337"/>
      <c r="I86" s="337"/>
      <c r="J86" s="337"/>
      <c r="K86" s="278"/>
      <c r="M86" s="279"/>
      <c r="N86" s="280"/>
      <c r="O86" s="280"/>
      <c r="P86" s="280"/>
      <c r="Q86" s="281"/>
      <c r="T86" s="36"/>
      <c r="U86" s="36"/>
    </row>
  </sheetData>
  <sheetProtection algorithmName="SHA-512" hashValue="LVNBQHFJIUBJUT7RmiYHK5k0iRoc+I3bgSMAAFilHQAlGEN2pNL/502s/OVYdwHdxMSlC7YkaZR77beU1nLvEw==" saltValue="SMtNdMJ27dlSi9Fo9M0tDw==" spinCount="100000" sheet="1" objects="1" scenarios="1"/>
  <mergeCells count="65">
    <mergeCell ref="D80:J80"/>
    <mergeCell ref="C82:Q82"/>
    <mergeCell ref="D84:J84"/>
    <mergeCell ref="C86:J86"/>
    <mergeCell ref="C74:Q74"/>
    <mergeCell ref="D76:J76"/>
    <mergeCell ref="D77:J77"/>
    <mergeCell ref="D78:J78"/>
    <mergeCell ref="D79:J79"/>
    <mergeCell ref="D22:J22"/>
    <mergeCell ref="D21:J21"/>
    <mergeCell ref="C3:Q3"/>
    <mergeCell ref="C5:Q5"/>
    <mergeCell ref="C6:Q6"/>
    <mergeCell ref="C7:Q7"/>
    <mergeCell ref="C9:F10"/>
    <mergeCell ref="G9:Q10"/>
    <mergeCell ref="D17:J17"/>
    <mergeCell ref="D18:J18"/>
    <mergeCell ref="D19:J19"/>
    <mergeCell ref="C13:Q13"/>
    <mergeCell ref="D16:J16"/>
    <mergeCell ref="D20:J20"/>
    <mergeCell ref="D36:J36"/>
    <mergeCell ref="C38:Q38"/>
    <mergeCell ref="D48:J48"/>
    <mergeCell ref="D42:J42"/>
    <mergeCell ref="D43:J43"/>
    <mergeCell ref="D47:J47"/>
    <mergeCell ref="D44:J44"/>
    <mergeCell ref="D45:J45"/>
    <mergeCell ref="D46:J46"/>
    <mergeCell ref="D31:J31"/>
    <mergeCell ref="D32:J32"/>
    <mergeCell ref="D34:J34"/>
    <mergeCell ref="D27:J27"/>
    <mergeCell ref="D28:J28"/>
    <mergeCell ref="D29:J29"/>
    <mergeCell ref="D23:J23"/>
    <mergeCell ref="D24:J24"/>
    <mergeCell ref="D55:J55"/>
    <mergeCell ref="D57:J57"/>
    <mergeCell ref="D62:J62"/>
    <mergeCell ref="D56:J56"/>
    <mergeCell ref="D53:J53"/>
    <mergeCell ref="D54:J54"/>
    <mergeCell ref="C51:Q51"/>
    <mergeCell ref="D41:J41"/>
    <mergeCell ref="D25:J25"/>
    <mergeCell ref="D40:J40"/>
    <mergeCell ref="D26:J26"/>
    <mergeCell ref="D30:J30"/>
    <mergeCell ref="D33:J33"/>
    <mergeCell ref="D35:J35"/>
    <mergeCell ref="D49:J49"/>
    <mergeCell ref="D70:J70"/>
    <mergeCell ref="D64:J64"/>
    <mergeCell ref="D71:J71"/>
    <mergeCell ref="D72:J72"/>
    <mergeCell ref="D63:J63"/>
    <mergeCell ref="C59:Q59"/>
    <mergeCell ref="D61:J61"/>
    <mergeCell ref="C66:Q66"/>
    <mergeCell ref="D68:J68"/>
    <mergeCell ref="D69:J69"/>
  </mergeCells>
  <dataValidations xWindow="814" yWindow="689" count="10">
    <dataValidation allowBlank="1" showInputMessage="1" showErrorMessage="1" prompt="Type comments, evidence, and proposed actions" sqref="Q84 Q53:Q57 Q61:Q64 Q40:Q49 Q16:Q36 Q68:Q72 Q76:Q80"/>
    <dataValidation type="list" allowBlank="1" showInputMessage="1" showErrorMessage="1" prompt="Select answer from list" sqref="M84 M53:M57 M61:M64 M46:M49 M76:M80 M68:M72 M16:M23 M40:M44 M29:M32 M35:M36">
      <formula1>"Yes,In part,No"</formula1>
    </dataValidation>
    <dataValidation type="list" allowBlank="1" showInputMessage="1" showErrorMessage="1" sqref="M85:M86">
      <formula1>$T$2:$V$2</formula1>
    </dataValidation>
    <dataValidation allowBlank="1" showInputMessage="1" showErrorMessage="1" prompt="Input number" sqref="M24"/>
    <dataValidation type="list" allowBlank="1" showInputMessage="1" showErrorMessage="1" prompt="Select answer from list" sqref="M45 M25:M26">
      <formula1>"Yes,In part,No,Not applicable"</formula1>
    </dataValidation>
    <dataValidation allowBlank="1" showInputMessage="1" showErrorMessage="1" prompt="Enter target date" sqref="O16:O36 O40:O49 O53:O57 O61:O64 O68:O72 O76:O80 O84"/>
    <dataValidation type="whole" allowBlank="1" showInputMessage="1" showErrorMessage="1" prompt="Input number" sqref="M28">
      <formula1>0</formula1>
      <formula2>100</formula2>
    </dataValidation>
    <dataValidation type="list" allowBlank="1" showInputMessage="1" showErrorMessage="1" prompt="Select answer from list" sqref="M27">
      <formula1>"Yes,No"</formula1>
    </dataValidation>
    <dataValidation type="whole" allowBlank="1" showInputMessage="1" showErrorMessage="1" prompt="Input number_x000a_" sqref="M33">
      <formula1>0</formula1>
      <formula2>100</formula2>
    </dataValidation>
    <dataValidation type="list" allowBlank="1" showInputMessage="1" showErrorMessage="1" prompt="Select answer from list_x000a_" sqref="M34">
      <formula1>"Yes,In part,No"</formula1>
    </dataValidation>
  </dataValidations>
  <hyperlinks>
    <hyperlink ref="C6:Q6" r:id="rId1" display="https://www.gov.uk/government/publications/school-resource-management-self-assessment-tool/checklist-support-notes"/>
    <hyperlink ref="K16" r:id="rId2"/>
    <hyperlink ref="K19" r:id="rId3"/>
    <hyperlink ref="K20" r:id="rId4" display="Link to guidance"/>
    <hyperlink ref="K22" r:id="rId5" display="Link to guidance"/>
    <hyperlink ref="K23" r:id="rId6" display="Link to guidance"/>
    <hyperlink ref="K24" r:id="rId7" display="Link to guidance"/>
    <hyperlink ref="K25" r:id="rId8" display="Link to guidance"/>
    <hyperlink ref="K29" r:id="rId9" display="Link to guidance"/>
    <hyperlink ref="K30" r:id="rId10" display="Link to guidance"/>
    <hyperlink ref="K31" r:id="rId11"/>
    <hyperlink ref="K35" r:id="rId12"/>
    <hyperlink ref="K36" r:id="rId13" display="Link to guidance"/>
    <hyperlink ref="K40" r:id="rId14"/>
    <hyperlink ref="K43" r:id="rId15" display="Q3 guidance"/>
    <hyperlink ref="K44" r:id="rId16" display="Link to guidance"/>
    <hyperlink ref="K45" r:id="rId17" display="Link to guidance"/>
    <hyperlink ref="K46" r:id="rId18" display="Link to guidance"/>
    <hyperlink ref="K49" r:id="rId19" display="Q8 guidance"/>
    <hyperlink ref="K53" r:id="rId20" display="Q1 guidance"/>
    <hyperlink ref="K54" r:id="rId21" display="Link to guidance"/>
    <hyperlink ref="K55" r:id="rId22" display="Q3 guidance"/>
    <hyperlink ref="K56" r:id="rId23"/>
    <hyperlink ref="K57" r:id="rId24" display="Link to guidance"/>
    <hyperlink ref="K61" r:id="rId25" display="Link to guidance"/>
    <hyperlink ref="K62" r:id="rId26" display="Link to guidance"/>
    <hyperlink ref="K64" r:id="rId27"/>
    <hyperlink ref="K68" r:id="rId28" display="Link to guidance"/>
    <hyperlink ref="K69" r:id="rId29" display="Link to guidance"/>
    <hyperlink ref="K70" r:id="rId30" display="Link to guidance"/>
    <hyperlink ref="K71" r:id="rId31" display="Link to guidance"/>
    <hyperlink ref="K72" r:id="rId32" display="Link to guidance"/>
    <hyperlink ref="K76" r:id="rId33" display="Link to guidance"/>
    <hyperlink ref="K77" r:id="rId34" display="Link to guidance"/>
    <hyperlink ref="K78" r:id="rId35" display="Q3 guidance"/>
    <hyperlink ref="K79" r:id="rId36" display="Link to guidance"/>
    <hyperlink ref="K80" r:id="rId37" display="Link to guidance"/>
    <hyperlink ref="K84" r:id="rId38" display="Link to guidance"/>
    <hyperlink ref="K18" r:id="rId39" display="Link to guidance"/>
    <hyperlink ref="K17" r:id="rId40" display="Q1 guidance"/>
    <hyperlink ref="K21" r:id="rId41" display="Link to guidance"/>
    <hyperlink ref="K34" r:id="rId42"/>
    <hyperlink ref="K42" r:id="rId43" display="Link to guidance"/>
    <hyperlink ref="K41" r:id="rId44" display="Q15 guidance"/>
    <hyperlink ref="K47" r:id="rId45" display="Q7 guidance"/>
    <hyperlink ref="K48" r:id="rId46" display="Q7A guidance"/>
    <hyperlink ref="K63" r:id="rId47" display="Link to guidance"/>
    <hyperlink ref="K26" r:id="rId48"/>
    <hyperlink ref="K27:K28" r:id="rId49" display="Q8 guidance"/>
    <hyperlink ref="K32:K33" r:id="rId50" display="Q11 guidance"/>
  </hyperlinks>
  <pageMargins left="0.70866141732283472" right="0.70866141732283472" top="0.74803149606299213" bottom="0.74803149606299213" header="0.31496062992125984" footer="0.31496062992125984"/>
  <pageSetup paperSize="9" scale="43" fitToHeight="0" orientation="portrait" cellComments="asDisplayed" r:id="rId51"/>
  <rowBreaks count="1" manualBreakCount="1">
    <brk id="36" max="16383" man="1"/>
  </rowBreaks>
  <customProperties>
    <customPr name="_pios_id" r:id="rId5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pageSetUpPr fitToPage="1"/>
  </sheetPr>
  <dimension ref="A1:XFC91"/>
  <sheetViews>
    <sheetView showGridLines="0" topLeftCell="A31" zoomScale="80" zoomScaleNormal="80" workbookViewId="0">
      <pane xSplit="4" topLeftCell="E1" activePane="topRight" state="frozen"/>
      <selection activeCell="C14" sqref="C14:T14"/>
      <selection pane="topRight" activeCell="F76" sqref="F76:H82"/>
    </sheetView>
  </sheetViews>
  <sheetFormatPr defaultColWidth="0" defaultRowHeight="0" customHeight="1" zeroHeight="1" x14ac:dyDescent="0.2"/>
  <cols>
    <col min="1" max="1" width="8" style="1" customWidth="1"/>
    <col min="2" max="2" width="2.5703125" style="1" customWidth="1"/>
    <col min="3" max="3" width="84" style="1" customWidth="1"/>
    <col min="4" max="4" width="12.140625" style="1" customWidth="1"/>
    <col min="5" max="5" width="8" style="1" customWidth="1"/>
    <col min="6" max="6" width="21.5703125" style="1" customWidth="1"/>
    <col min="7" max="7" width="1.5703125" style="1" customWidth="1"/>
    <col min="8" max="8" width="36.5703125" style="1" customWidth="1"/>
    <col min="9" max="10" width="2.5703125" style="1" customWidth="1"/>
    <col min="11" max="11" width="8.5703125" style="1" hidden="1"/>
    <col min="12" max="12" width="20.85546875" style="1" hidden="1"/>
    <col min="13" max="13" width="1.5703125" style="1" hidden="1"/>
    <col min="14" max="14" width="36.5703125" style="1" hidden="1"/>
    <col min="15" max="15" width="8.5703125" style="1" hidden="1"/>
    <col min="16" max="16" width="20.85546875" style="1" hidden="1"/>
    <col min="17" max="17" width="1.5703125" style="1" hidden="1"/>
    <col min="18" max="18" width="36.5703125" style="1" hidden="1"/>
    <col min="19" max="19" width="8.5703125" style="1" hidden="1"/>
    <col min="20" max="20" width="20.85546875" style="1" hidden="1"/>
    <col min="21" max="21" width="1.5703125" style="1" hidden="1"/>
    <col min="22" max="22" width="36.5703125" style="1" hidden="1"/>
    <col min="23" max="23" width="8.5703125" style="1" hidden="1"/>
    <col min="24" max="24" width="20.85546875" style="1" hidden="1"/>
    <col min="25" max="25" width="1.5703125" style="1" hidden="1"/>
    <col min="26" max="26" width="36.5703125" style="1" hidden="1"/>
    <col min="27" max="27" width="8.5703125" style="1" hidden="1"/>
    <col min="28" max="28" width="20.85546875" style="1" hidden="1"/>
    <col min="29" max="29" width="1.5703125" style="1" hidden="1"/>
    <col min="30" max="30" width="36.5703125" style="1" hidden="1"/>
    <col min="31" max="31" width="8.5703125" style="1" hidden="1"/>
    <col min="32" max="32" width="20.85546875" style="1" hidden="1"/>
    <col min="33" max="33" width="1.5703125" style="1" hidden="1"/>
    <col min="34" max="34" width="36.5703125" style="1" hidden="1"/>
    <col min="35" max="35" width="8.5703125" style="1" hidden="1"/>
    <col min="36" max="36" width="20.85546875" style="1" hidden="1"/>
    <col min="37" max="37" width="1.5703125" style="1" hidden="1"/>
    <col min="38" max="38" width="36.5703125" style="1" hidden="1"/>
    <col min="39" max="39" width="8.5703125" style="1" hidden="1"/>
    <col min="40" max="40" width="20.85546875" style="1" hidden="1"/>
    <col min="41" max="41" width="1.5703125" style="1" hidden="1"/>
    <col min="42" max="42" width="36.5703125" style="1" hidden="1"/>
    <col min="43" max="43" width="8.5703125" style="1" hidden="1"/>
    <col min="44" max="44" width="20.85546875" style="1" hidden="1"/>
    <col min="45" max="45" width="1.5703125" style="1" hidden="1"/>
    <col min="46" max="46" width="36.5703125" style="1" hidden="1"/>
    <col min="47" max="47" width="8.5703125" style="1" hidden="1"/>
    <col min="48" max="48" width="20.85546875" style="1" hidden="1"/>
    <col min="49" max="49" width="1.5703125" style="1" hidden="1"/>
    <col min="50" max="50" width="36.5703125" style="1" hidden="1"/>
    <col min="51" max="51" width="8.5703125" style="1" hidden="1"/>
    <col min="52" max="52" width="20.85546875" style="1" hidden="1"/>
    <col min="53" max="53" width="1.5703125" style="1" hidden="1"/>
    <col min="54" max="54" width="36.5703125" style="1" hidden="1"/>
    <col min="55" max="55" width="8.5703125" style="1" hidden="1"/>
    <col min="56" max="56" width="20.85546875" style="1" hidden="1"/>
    <col min="57" max="57" width="1.5703125" style="1" hidden="1"/>
    <col min="58" max="58" width="36.5703125" style="1" hidden="1"/>
    <col min="59" max="59" width="8.5703125" style="1" hidden="1"/>
    <col min="60" max="60" width="20.85546875" style="1" hidden="1"/>
    <col min="61" max="61" width="1.5703125" style="1" hidden="1"/>
    <col min="62" max="62" width="36.5703125" style="1" hidden="1"/>
    <col min="63" max="63" width="8.5703125" style="1" hidden="1"/>
    <col min="64" max="64" width="20.85546875" style="1" hidden="1"/>
    <col min="65" max="65" width="1.5703125" style="1" hidden="1"/>
    <col min="66" max="66" width="36.5703125" style="1" hidden="1"/>
    <col min="67" max="67" width="8.5703125" style="1" hidden="1"/>
    <col min="68" max="68" width="20.85546875" style="1" hidden="1"/>
    <col min="69" max="69" width="1.5703125" style="1" hidden="1"/>
    <col min="70" max="70" width="36.5703125" style="1" hidden="1"/>
    <col min="71" max="71" width="8.5703125" style="1" hidden="1"/>
    <col min="72" max="72" width="20.85546875" style="1" hidden="1"/>
    <col min="73" max="73" width="1.5703125" style="1" hidden="1"/>
    <col min="74" max="74" width="36.5703125" style="1" hidden="1"/>
    <col min="75" max="75" width="8.5703125" style="1" hidden="1"/>
    <col min="76" max="76" width="20.85546875" style="1" hidden="1"/>
    <col min="77" max="77" width="1.5703125" style="1" hidden="1"/>
    <col min="78" max="78" width="36.5703125" style="1" hidden="1"/>
    <col min="79" max="79" width="8.5703125" style="1" hidden="1"/>
    <col min="80" max="80" width="20.85546875" style="1" hidden="1"/>
    <col min="81" max="81" width="1.5703125" style="1" hidden="1"/>
    <col min="82" max="82" width="36.5703125" style="1" hidden="1"/>
    <col min="83" max="83" width="8.5703125" style="1" hidden="1"/>
    <col min="84" max="84" width="20.85546875" style="1" hidden="1"/>
    <col min="85" max="85" width="1.5703125" style="1" hidden="1"/>
    <col min="86" max="86" width="36.5703125" style="1" hidden="1"/>
    <col min="87" max="87" width="8.5703125" style="1" hidden="1"/>
    <col min="88" max="88" width="20.85546875" style="1" hidden="1"/>
    <col min="89" max="89" width="1.5703125" style="1" hidden="1"/>
    <col min="90" max="90" width="36.5703125" style="1" hidden="1"/>
    <col min="91" max="91" width="8.5703125" style="1" hidden="1"/>
    <col min="92" max="92" width="20.85546875" style="1" hidden="1"/>
    <col min="93" max="93" width="1.5703125" style="1" hidden="1"/>
    <col min="94" max="94" width="36.5703125" style="1" hidden="1"/>
    <col min="95" max="95" width="8.5703125" style="1" hidden="1"/>
    <col min="96" max="96" width="20.85546875" style="1" hidden="1"/>
    <col min="97" max="97" width="1.5703125" style="1" hidden="1"/>
    <col min="98" max="98" width="36.5703125" style="1" hidden="1"/>
    <col min="99" max="99" width="8.5703125" style="1" hidden="1"/>
    <col min="100" max="100" width="20.85546875" style="1" hidden="1"/>
    <col min="101" max="101" width="1.5703125" style="1" hidden="1"/>
    <col min="102" max="102" width="36.5703125" style="1" hidden="1"/>
    <col min="103" max="103" width="8.5703125" style="1" hidden="1"/>
    <col min="104" max="104" width="20.85546875" style="1" hidden="1"/>
    <col min="105" max="105" width="1.5703125" style="1" hidden="1"/>
    <col min="106" max="106" width="36.5703125" style="1" hidden="1"/>
    <col min="107" max="107" width="8.5703125" style="1" hidden="1"/>
    <col min="108" max="108" width="20.85546875" style="1" hidden="1"/>
    <col min="109" max="109" width="1.5703125" style="1" hidden="1"/>
    <col min="110" max="110" width="36.5703125" style="1" hidden="1"/>
    <col min="111" max="111" width="8.5703125" style="1" hidden="1"/>
    <col min="112" max="112" width="20.85546875" style="1" hidden="1"/>
    <col min="113" max="113" width="1.5703125" style="1" hidden="1"/>
    <col min="114" max="114" width="36.5703125" style="1" hidden="1"/>
    <col min="115" max="115" width="8.5703125" style="1" hidden="1"/>
    <col min="116" max="116" width="20.85546875" style="1" hidden="1"/>
    <col min="117" max="117" width="1.5703125" style="1" hidden="1"/>
    <col min="118" max="118" width="36.5703125" style="1" hidden="1"/>
    <col min="119" max="119" width="8.5703125" style="1" hidden="1"/>
    <col min="120" max="120" width="20.85546875" style="1" hidden="1"/>
    <col min="121" max="121" width="1.5703125" style="1" hidden="1"/>
    <col min="122" max="122" width="36.5703125" style="1" hidden="1"/>
    <col min="123" max="123" width="8.5703125" style="1" hidden="1"/>
    <col min="124" max="124" width="20.85546875" style="1" hidden="1"/>
    <col min="125" max="125" width="1.5703125" style="1" hidden="1"/>
    <col min="126" max="126" width="36.5703125" style="1" hidden="1"/>
    <col min="127" max="127" width="8.5703125" style="1" hidden="1"/>
    <col min="128" max="128" width="20.85546875" style="1" hidden="1"/>
    <col min="129" max="129" width="1.5703125" style="1" hidden="1"/>
    <col min="130" max="130" width="36.5703125" style="1" hidden="1"/>
    <col min="131" max="131" width="8.5703125" style="1" hidden="1"/>
    <col min="132" max="132" width="20.85546875" style="1" hidden="1"/>
    <col min="133" max="133" width="1.5703125" style="1" hidden="1"/>
    <col min="134" max="134" width="36.5703125" style="1" hidden="1"/>
    <col min="135" max="135" width="8.5703125" style="1" hidden="1"/>
    <col min="136" max="136" width="20.85546875" style="1" hidden="1"/>
    <col min="137" max="137" width="1.5703125" style="1" hidden="1"/>
    <col min="138" max="138" width="36.5703125" style="1" hidden="1"/>
    <col min="139" max="139" width="8.5703125" style="1" hidden="1"/>
    <col min="140" max="140" width="20.85546875" style="1" hidden="1"/>
    <col min="141" max="141" width="1.5703125" style="1" hidden="1"/>
    <col min="142" max="142" width="36.5703125" style="1" hidden="1"/>
    <col min="143" max="143" width="8.5703125" style="1" hidden="1"/>
    <col min="144" max="144" width="20.85546875" style="1" hidden="1"/>
    <col min="145" max="145" width="1.5703125" style="1" hidden="1"/>
    <col min="146" max="146" width="36.5703125" style="1" hidden="1"/>
    <col min="147" max="147" width="8.5703125" style="1" hidden="1"/>
    <col min="148" max="148" width="20.85546875" style="1" hidden="1"/>
    <col min="149" max="149" width="1.5703125" style="1" hidden="1"/>
    <col min="150" max="150" width="36.5703125" style="1" hidden="1"/>
    <col min="151" max="151" width="8.5703125" style="1" hidden="1"/>
    <col min="152" max="152" width="20.85546875" style="1" hidden="1"/>
    <col min="153" max="153" width="1.5703125" style="1" hidden="1"/>
    <col min="154" max="154" width="36.5703125" style="1" hidden="1"/>
    <col min="155" max="155" width="8.5703125" style="1" hidden="1"/>
    <col min="156" max="156" width="20.85546875" style="1" hidden="1"/>
    <col min="157" max="157" width="1.5703125" style="1" hidden="1"/>
    <col min="158" max="158" width="36.5703125" style="1" hidden="1"/>
    <col min="159" max="159" width="8.5703125" style="1" hidden="1"/>
    <col min="160" max="160" width="20.85546875" style="1" hidden="1"/>
    <col min="161" max="161" width="1.5703125" style="1" hidden="1"/>
    <col min="162" max="162" width="36.5703125" style="1" hidden="1"/>
    <col min="163" max="163" width="8.5703125" style="1" hidden="1"/>
    <col min="164" max="164" width="20.85546875" style="1" hidden="1"/>
    <col min="165" max="165" width="1.5703125" style="1" hidden="1"/>
    <col min="166" max="166" width="36.5703125" style="1" hidden="1"/>
    <col min="167" max="167" width="8.5703125" style="1" hidden="1"/>
    <col min="168" max="168" width="20.85546875" style="1" hidden="1"/>
    <col min="169" max="169" width="1.5703125" style="1" hidden="1"/>
    <col min="170" max="170" width="36.5703125" style="1" hidden="1"/>
    <col min="171" max="171" width="8.5703125" style="1" hidden="1"/>
    <col min="172" max="172" width="20.85546875" style="1" hidden="1"/>
    <col min="173" max="173" width="1.5703125" style="1" hidden="1"/>
    <col min="174" max="174" width="36.5703125" style="1" hidden="1"/>
    <col min="175" max="175" width="8.5703125" style="1" hidden="1"/>
    <col min="176" max="176" width="20.85546875" style="1" hidden="1"/>
    <col min="177" max="177" width="1.5703125" style="1" hidden="1"/>
    <col min="178" max="178" width="36.5703125" style="1" hidden="1"/>
    <col min="179" max="179" width="8.5703125" style="1" hidden="1"/>
    <col min="180" max="180" width="20.85546875" style="1" hidden="1"/>
    <col min="181" max="181" width="1.5703125" style="1" hidden="1"/>
    <col min="182" max="182" width="36.5703125" style="1" hidden="1"/>
    <col min="183" max="183" width="8.5703125" style="1" hidden="1"/>
    <col min="184" max="184" width="20.85546875" style="1" hidden="1"/>
    <col min="185" max="185" width="1.5703125" style="1" hidden="1"/>
    <col min="186" max="186" width="36.5703125" style="1" hidden="1"/>
    <col min="187" max="187" width="8.5703125" style="1" hidden="1"/>
    <col min="188" max="188" width="20.85546875" style="1" hidden="1"/>
    <col min="189" max="189" width="1.5703125" style="1" hidden="1"/>
    <col min="190" max="190" width="36.5703125" style="1" hidden="1"/>
    <col min="191" max="191" width="8.5703125" style="1" hidden="1"/>
    <col min="192" max="192" width="20.85546875" style="1" hidden="1"/>
    <col min="193" max="193" width="1.5703125" style="1" hidden="1"/>
    <col min="194" max="194" width="36.5703125" style="1" hidden="1"/>
    <col min="195" max="195" width="8.5703125" style="1" hidden="1"/>
    <col min="196" max="196" width="20.85546875" style="1" hidden="1"/>
    <col min="197" max="197" width="1.5703125" style="1" hidden="1"/>
    <col min="198" max="198" width="36.5703125" style="1" hidden="1"/>
    <col min="199" max="199" width="8.5703125" style="1" hidden="1"/>
    <col min="200" max="200" width="20.85546875" style="1" hidden="1"/>
    <col min="201" max="201" width="1.5703125" style="1" hidden="1"/>
    <col min="202" max="202" width="36.5703125" style="1" hidden="1"/>
    <col min="203" max="203" width="8.5703125" style="1" hidden="1"/>
    <col min="204" max="204" width="20.85546875" style="1" hidden="1"/>
    <col min="205" max="205" width="1.5703125" style="1" hidden="1"/>
    <col min="206" max="206" width="36.5703125" style="1" hidden="1"/>
    <col min="207" max="207" width="8.5703125" style="1" hidden="1"/>
    <col min="208" max="208" width="20.85546875" style="1" hidden="1"/>
    <col min="209" max="209" width="1.5703125" style="1" hidden="1"/>
    <col min="210" max="210" width="36.5703125" style="1" hidden="1"/>
    <col min="211" max="211" width="8.5703125" style="1" hidden="1"/>
    <col min="212" max="212" width="20.85546875" style="1" hidden="1"/>
    <col min="213" max="213" width="1.5703125" style="1" hidden="1"/>
    <col min="214" max="214" width="36.5703125" style="1" hidden="1"/>
    <col min="215" max="215" width="8.5703125" style="1" hidden="1"/>
    <col min="216" max="216" width="20.85546875" style="1" hidden="1"/>
    <col min="217" max="217" width="1.5703125" style="1" hidden="1"/>
    <col min="218" max="218" width="36.5703125" style="1" hidden="1"/>
    <col min="219" max="219" width="8.5703125" style="1" hidden="1"/>
    <col min="220" max="220" width="20.85546875" style="1" hidden="1"/>
    <col min="221" max="221" width="1.5703125" style="1" hidden="1"/>
    <col min="222" max="222" width="36.5703125" style="1" hidden="1"/>
    <col min="223" max="223" width="8.5703125" style="1" hidden="1"/>
    <col min="224" max="224" width="20.85546875" style="1" hidden="1"/>
    <col min="225" max="225" width="1.5703125" style="1" hidden="1"/>
    <col min="226" max="226" width="36.5703125" style="1" hidden="1"/>
    <col min="227" max="227" width="8.5703125" style="1" hidden="1"/>
    <col min="228" max="228" width="20.85546875" style="1" hidden="1"/>
    <col min="229" max="229" width="1.5703125" style="1" hidden="1"/>
    <col min="230" max="230" width="36.5703125" style="1" hidden="1"/>
    <col min="231" max="231" width="8.5703125" style="1" hidden="1"/>
    <col min="232" max="232" width="20.85546875" style="1" hidden="1"/>
    <col min="233" max="233" width="1.5703125" style="1" hidden="1"/>
    <col min="234" max="234" width="36.5703125" style="1" hidden="1"/>
    <col min="235" max="235" width="8.5703125" style="1" hidden="1"/>
    <col min="236" max="236" width="20.85546875" style="1" hidden="1"/>
    <col min="237" max="237" width="1.5703125" style="1" hidden="1"/>
    <col min="238" max="238" width="36.5703125" style="1" hidden="1"/>
    <col min="239" max="239" width="8.5703125" style="1" hidden="1"/>
    <col min="240" max="240" width="20.85546875" style="1" hidden="1"/>
    <col min="241" max="241" width="1.5703125" style="1" hidden="1"/>
    <col min="242" max="242" width="36.5703125" style="1" hidden="1"/>
    <col min="243" max="243" width="8.5703125" style="1" hidden="1"/>
    <col min="244" max="244" width="20.85546875" style="1" hidden="1"/>
    <col min="245" max="245" width="1.5703125" style="1" hidden="1"/>
    <col min="246" max="246" width="36.5703125" style="1" hidden="1"/>
    <col min="247" max="247" width="8.5703125" style="1" hidden="1"/>
    <col min="248" max="248" width="20.85546875" style="1" hidden="1"/>
    <col min="249" max="249" width="1.5703125" style="1" hidden="1"/>
    <col min="250" max="250" width="36.5703125" style="1" hidden="1"/>
    <col min="251" max="251" width="8.5703125" style="1" hidden="1"/>
    <col min="252" max="252" width="20.85546875" style="1" hidden="1"/>
    <col min="253" max="253" width="1.5703125" style="1" hidden="1"/>
    <col min="254" max="254" width="36.5703125" style="1" hidden="1"/>
    <col min="255" max="255" width="8.5703125" style="1" hidden="1"/>
    <col min="256" max="256" width="20.85546875" style="1" hidden="1"/>
    <col min="257" max="257" width="1.5703125" style="1" hidden="1"/>
    <col min="258" max="258" width="36.5703125" style="1" hidden="1"/>
    <col min="259" max="259" width="8.5703125" style="1" hidden="1"/>
    <col min="260" max="260" width="20.85546875" style="1" hidden="1"/>
    <col min="261" max="261" width="1.5703125" style="1" hidden="1"/>
    <col min="262" max="262" width="36.5703125" style="1" hidden="1"/>
    <col min="263" max="263" width="8.5703125" style="1" hidden="1"/>
    <col min="264" max="264" width="20.85546875" style="1" hidden="1"/>
    <col min="265" max="265" width="1.5703125" style="1" hidden="1"/>
    <col min="266" max="266" width="36.5703125" style="1" hidden="1"/>
    <col min="267" max="267" width="8.5703125" style="1" hidden="1"/>
    <col min="268" max="268" width="20.85546875" style="1" hidden="1"/>
    <col min="269" max="269" width="1.5703125" style="1" hidden="1"/>
    <col min="270" max="270" width="36.5703125" style="1" hidden="1"/>
    <col min="271" max="271" width="8.5703125" style="1" hidden="1"/>
    <col min="272" max="272" width="20.85546875" style="1" hidden="1"/>
    <col min="273" max="273" width="1.5703125" style="1" hidden="1"/>
    <col min="274" max="274" width="36.5703125" style="1" hidden="1"/>
    <col min="275" max="275" width="8.5703125" style="1" hidden="1"/>
    <col min="276" max="276" width="20.85546875" style="1" hidden="1"/>
    <col min="277" max="277" width="1.5703125" style="1" hidden="1"/>
    <col min="278" max="278" width="36.5703125" style="1" hidden="1"/>
    <col min="279" max="279" width="8.5703125" style="1" hidden="1"/>
    <col min="280" max="280" width="20.85546875" style="1" hidden="1"/>
    <col min="281" max="281" width="1.5703125" style="1" hidden="1"/>
    <col min="282" max="282" width="36.5703125" style="1" hidden="1"/>
    <col min="283" max="283" width="8.5703125" style="1" hidden="1"/>
    <col min="284" max="284" width="20.85546875" style="1" hidden="1"/>
    <col min="285" max="285" width="1.5703125" style="1" hidden="1"/>
    <col min="286" max="286" width="36.5703125" style="1" hidden="1"/>
    <col min="287" max="287" width="8.5703125" style="1" hidden="1"/>
    <col min="288" max="288" width="20.85546875" style="1" hidden="1"/>
    <col min="289" max="289" width="1.5703125" style="1" hidden="1"/>
    <col min="290" max="290" width="36.5703125" style="1" hidden="1"/>
    <col min="291" max="291" width="8.5703125" style="1" hidden="1"/>
    <col min="292" max="292" width="20.85546875" style="1" hidden="1"/>
    <col min="293" max="293" width="1.5703125" style="1" hidden="1"/>
    <col min="294" max="294" width="36.5703125" style="1" hidden="1"/>
    <col min="295" max="295" width="8.5703125" style="1" hidden="1"/>
    <col min="296" max="296" width="20.85546875" style="1" hidden="1"/>
    <col min="297" max="297" width="1.5703125" style="1" hidden="1"/>
    <col min="298" max="298" width="36.5703125" style="1" hidden="1"/>
    <col min="299" max="299" width="8.5703125" style="1" hidden="1"/>
    <col min="300" max="300" width="20.85546875" style="1" hidden="1"/>
    <col min="301" max="301" width="1.5703125" style="1" hidden="1"/>
    <col min="302" max="302" width="36.5703125" style="1" hidden="1"/>
    <col min="303" max="303" width="8.5703125" style="1" hidden="1"/>
    <col min="304" max="304" width="20.85546875" style="1" hidden="1"/>
    <col min="305" max="305" width="1.5703125" style="1" hidden="1"/>
    <col min="306" max="306" width="36.5703125" style="1" hidden="1"/>
    <col min="307" max="307" width="8.5703125" style="1" hidden="1"/>
    <col min="308" max="308" width="20.85546875" style="1" hidden="1"/>
    <col min="309" max="309" width="1.5703125" style="1" hidden="1"/>
    <col min="310" max="310" width="36.5703125" style="1" hidden="1"/>
    <col min="311" max="311" width="8.5703125" style="1" hidden="1"/>
    <col min="312" max="312" width="20.85546875" style="1" hidden="1"/>
    <col min="313" max="313" width="1.5703125" style="1" hidden="1"/>
    <col min="314" max="314" width="36.5703125" style="1" hidden="1"/>
    <col min="315" max="315" width="8.5703125" style="1" hidden="1"/>
    <col min="316" max="316" width="20.85546875" style="1" hidden="1"/>
    <col min="317" max="317" width="1.5703125" style="1" hidden="1"/>
    <col min="318" max="318" width="36.5703125" style="1" hidden="1"/>
    <col min="319" max="319" width="8.5703125" style="1" hidden="1"/>
    <col min="320" max="320" width="20.85546875" style="1" hidden="1"/>
    <col min="321" max="321" width="1.5703125" style="1" hidden="1"/>
    <col min="322" max="322" width="36.5703125" style="1" hidden="1"/>
    <col min="323" max="323" width="8.5703125" style="1" hidden="1"/>
    <col min="324" max="324" width="20.85546875" style="1" hidden="1"/>
    <col min="325" max="325" width="1.5703125" style="1" hidden="1"/>
    <col min="326" max="326" width="36.5703125" style="1" hidden="1"/>
    <col min="327" max="327" width="8.5703125" style="1" hidden="1"/>
    <col min="328" max="328" width="20.85546875" style="1" hidden="1"/>
    <col min="329" max="329" width="1.5703125" style="1" hidden="1"/>
    <col min="330" max="330" width="36.5703125" style="1" hidden="1"/>
    <col min="331" max="331" width="8.5703125" style="1" hidden="1"/>
    <col min="332" max="332" width="20.85546875" style="1" hidden="1"/>
    <col min="333" max="333" width="1.5703125" style="1" hidden="1"/>
    <col min="334" max="334" width="36.5703125" style="1" hidden="1"/>
    <col min="335" max="335" width="8.5703125" style="1" hidden="1"/>
    <col min="336" max="336" width="20.85546875" style="1" hidden="1"/>
    <col min="337" max="337" width="1.5703125" style="1" hidden="1"/>
    <col min="338" max="338" width="36.5703125" style="1" hidden="1"/>
    <col min="339" max="339" width="8.5703125" style="1" hidden="1"/>
    <col min="340" max="340" width="20.85546875" style="1" hidden="1"/>
    <col min="341" max="341" width="1.5703125" style="1" hidden="1"/>
    <col min="342" max="342" width="36.5703125" style="1" hidden="1"/>
    <col min="343" max="343" width="8.5703125" style="1" hidden="1"/>
    <col min="344" max="344" width="20.85546875" style="1" hidden="1"/>
    <col min="345" max="345" width="1.5703125" style="1" hidden="1"/>
    <col min="346" max="346" width="36.5703125" style="1" hidden="1"/>
    <col min="347" max="347" width="8.5703125" style="1" hidden="1"/>
    <col min="348" max="348" width="20.85546875" style="1" hidden="1"/>
    <col min="349" max="349" width="1.5703125" style="1" hidden="1"/>
    <col min="350" max="350" width="36.5703125" style="1" hidden="1"/>
    <col min="351" max="351" width="8.5703125" style="1" hidden="1"/>
    <col min="352" max="352" width="20.85546875" style="1" hidden="1"/>
    <col min="353" max="353" width="1.5703125" style="1" hidden="1"/>
    <col min="354" max="354" width="36.5703125" style="1" hidden="1"/>
    <col min="355" max="355" width="8.5703125" style="1" hidden="1"/>
    <col min="356" max="356" width="20.85546875" style="1" hidden="1"/>
    <col min="357" max="357" width="1.5703125" style="1" hidden="1"/>
    <col min="358" max="358" width="36.5703125" style="1" hidden="1"/>
    <col min="359" max="359" width="8.5703125" style="1" hidden="1"/>
    <col min="360" max="360" width="20.85546875" style="1" hidden="1"/>
    <col min="361" max="361" width="1.5703125" style="1" hidden="1"/>
    <col min="362" max="362" width="36.5703125" style="1" hidden="1"/>
    <col min="363" max="363" width="8.5703125" style="1" hidden="1"/>
    <col min="364" max="364" width="20.85546875" style="1" hidden="1"/>
    <col min="365" max="365" width="1.5703125" style="1" hidden="1"/>
    <col min="366" max="366" width="36.5703125" style="1" hidden="1"/>
    <col min="367" max="367" width="8.5703125" style="1" hidden="1"/>
    <col min="368" max="368" width="20.85546875" style="1" hidden="1"/>
    <col min="369" max="369" width="1.5703125" style="1" hidden="1"/>
    <col min="370" max="370" width="36.5703125" style="1" hidden="1"/>
    <col min="371" max="371" width="8.5703125" style="1" hidden="1"/>
    <col min="372" max="372" width="20.85546875" style="1" hidden="1"/>
    <col min="373" max="373" width="1.5703125" style="1" hidden="1"/>
    <col min="374" max="374" width="36.5703125" style="1" hidden="1"/>
    <col min="375" max="375" width="8.5703125" style="1" hidden="1"/>
    <col min="376" max="376" width="20.85546875" style="1" hidden="1"/>
    <col min="377" max="377" width="1.5703125" style="1" hidden="1"/>
    <col min="378" max="378" width="36.5703125" style="1" hidden="1"/>
    <col min="379" max="379" width="8.5703125" style="1" hidden="1"/>
    <col min="380" max="380" width="20.85546875" style="1" hidden="1"/>
    <col min="381" max="381" width="1.5703125" style="1" hidden="1"/>
    <col min="382" max="382" width="36.5703125" style="1" hidden="1"/>
    <col min="383" max="383" width="8.5703125" style="1" hidden="1"/>
    <col min="384" max="384" width="20.85546875" style="1" hidden="1"/>
    <col min="385" max="385" width="1.5703125" style="1" hidden="1"/>
    <col min="386" max="386" width="36.5703125" style="1" hidden="1"/>
    <col min="387" max="387" width="8.5703125" style="1" hidden="1"/>
    <col min="388" max="388" width="20.85546875" style="1" hidden="1"/>
    <col min="389" max="389" width="1.5703125" style="1" hidden="1"/>
    <col min="390" max="390" width="36.5703125" style="1" hidden="1"/>
    <col min="391" max="391" width="8.5703125" style="1" hidden="1"/>
    <col min="392" max="392" width="20.85546875" style="1" hidden="1"/>
    <col min="393" max="393" width="1.5703125" style="1" hidden="1"/>
    <col min="394" max="394" width="36.5703125" style="1" hidden="1"/>
    <col min="395" max="395" width="8.5703125" style="1" hidden="1"/>
    <col min="396" max="396" width="20.85546875" style="1" hidden="1"/>
    <col min="397" max="397" width="1.5703125" style="1" hidden="1"/>
    <col min="398" max="398" width="36.5703125" style="1" hidden="1"/>
    <col min="399" max="399" width="8.5703125" style="1" hidden="1"/>
    <col min="400" max="400" width="20.85546875" style="1" hidden="1"/>
    <col min="401" max="401" width="1.5703125" style="1" hidden="1"/>
    <col min="402" max="402" width="36.5703125" style="1" hidden="1"/>
    <col min="403" max="403" width="8.5703125" style="1" hidden="1"/>
    <col min="404" max="404" width="20.85546875" style="1" hidden="1"/>
    <col min="405" max="405" width="1.5703125" style="1" hidden="1"/>
    <col min="406" max="406" width="36.5703125" style="1" hidden="1"/>
    <col min="407" max="407" width="8.5703125" style="1" hidden="1"/>
    <col min="408" max="408" width="20.85546875" style="1" hidden="1"/>
    <col min="409" max="409" width="1.5703125" style="1" hidden="1"/>
    <col min="410" max="410" width="36.5703125" style="1" hidden="1"/>
    <col min="411" max="411" width="8.5703125" style="1" hidden="1"/>
    <col min="412" max="412" width="20.85546875" style="1" hidden="1"/>
    <col min="413" max="413" width="1.5703125" style="1" hidden="1"/>
    <col min="414" max="414" width="36.5703125" style="1" hidden="1"/>
    <col min="415" max="415" width="8.5703125" style="1" hidden="1"/>
    <col min="416" max="416" width="20.85546875" style="1" hidden="1"/>
    <col min="417" max="417" width="1.5703125" style="1" hidden="1"/>
    <col min="418" max="418" width="36.5703125" style="1" hidden="1"/>
    <col min="419" max="419" width="8.5703125" style="1" hidden="1"/>
    <col min="420" max="420" width="20.85546875" style="1" hidden="1"/>
    <col min="421" max="421" width="1.5703125" style="1" hidden="1"/>
    <col min="422" max="422" width="36.5703125" style="1" hidden="1"/>
    <col min="423" max="423" width="8.5703125" style="1" hidden="1"/>
    <col min="424" max="424" width="20.85546875" style="1" hidden="1"/>
    <col min="425" max="425" width="1.5703125" style="1" hidden="1"/>
    <col min="426" max="426" width="36.5703125" style="1" hidden="1"/>
    <col min="427" max="427" width="8.5703125" style="1" hidden="1"/>
    <col min="428" max="428" width="20.85546875" style="1" hidden="1"/>
    <col min="429" max="429" width="1.5703125" style="1" hidden="1"/>
    <col min="430" max="430" width="36.5703125" style="1" hidden="1"/>
    <col min="431" max="431" width="8.5703125" style="1" hidden="1"/>
    <col min="432" max="432" width="20.85546875" style="1" hidden="1"/>
    <col min="433" max="433" width="1.5703125" style="1" hidden="1"/>
    <col min="434" max="434" width="36.5703125" style="1" hidden="1"/>
    <col min="435" max="435" width="8.5703125" style="1" hidden="1"/>
    <col min="436" max="436" width="20.85546875" style="1" hidden="1"/>
    <col min="437" max="437" width="1.5703125" style="1" hidden="1"/>
    <col min="438" max="438" width="36.5703125" style="1" hidden="1"/>
    <col min="439" max="439" width="8.5703125" style="1" hidden="1"/>
    <col min="440" max="440" width="20.85546875" style="1" hidden="1"/>
    <col min="441" max="441" width="1.5703125" style="1" hidden="1"/>
    <col min="442" max="442" width="36.5703125" style="1" hidden="1"/>
    <col min="443" max="443" width="8.5703125" style="1" hidden="1"/>
    <col min="444" max="444" width="20.85546875" style="1" hidden="1"/>
    <col min="445" max="445" width="1.5703125" style="1" hidden="1"/>
    <col min="446" max="446" width="36.5703125" style="1" hidden="1"/>
    <col min="447" max="447" width="8.5703125" style="1" hidden="1"/>
    <col min="448" max="448" width="20.85546875" style="1" hidden="1"/>
    <col min="449" max="449" width="1.5703125" style="1" hidden="1"/>
    <col min="450" max="450" width="36.5703125" style="1" hidden="1"/>
    <col min="451" max="451" width="8.5703125" style="1" hidden="1"/>
    <col min="452" max="452" width="20.85546875" style="1" hidden="1"/>
    <col min="453" max="453" width="1.5703125" style="1" hidden="1"/>
    <col min="454" max="454" width="36.5703125" style="1" hidden="1"/>
    <col min="455" max="455" width="8.5703125" style="1" hidden="1"/>
    <col min="456" max="456" width="20.85546875" style="1" hidden="1"/>
    <col min="457" max="457" width="1.5703125" style="1" hidden="1"/>
    <col min="458" max="458" width="36.5703125" style="1" hidden="1"/>
    <col min="459" max="459" width="8.5703125" style="1" hidden="1"/>
    <col min="460" max="460" width="20.85546875" style="1" hidden="1"/>
    <col min="461" max="461" width="1.5703125" style="1" hidden="1"/>
    <col min="462" max="462" width="36.5703125" style="1" hidden="1"/>
    <col min="463" max="463" width="8.5703125" style="1" hidden="1"/>
    <col min="464" max="464" width="20.85546875" style="1" hidden="1"/>
    <col min="465" max="465" width="1.5703125" style="1" hidden="1"/>
    <col min="466" max="466" width="36.5703125" style="1" hidden="1"/>
    <col min="467" max="467" width="8.5703125" style="1" hidden="1"/>
    <col min="468" max="468" width="20.85546875" style="1" hidden="1"/>
    <col min="469" max="469" width="1.5703125" style="1" hidden="1"/>
    <col min="470" max="470" width="36.5703125" style="1" hidden="1"/>
    <col min="471" max="471" width="8.5703125" style="1" hidden="1"/>
    <col min="472" max="472" width="20.85546875" style="1" hidden="1"/>
    <col min="473" max="473" width="1.5703125" style="1" hidden="1"/>
    <col min="474" max="474" width="36.5703125" style="1" hidden="1"/>
    <col min="475" max="475" width="8.5703125" style="1" hidden="1"/>
    <col min="476" max="476" width="20.85546875" style="1" hidden="1"/>
    <col min="477" max="477" width="1.5703125" style="1" hidden="1"/>
    <col min="478" max="478" width="36.5703125" style="1" hidden="1"/>
    <col min="479" max="479" width="8.5703125" style="1" hidden="1"/>
    <col min="480" max="480" width="20.85546875" style="1" hidden="1"/>
    <col min="481" max="481" width="1.5703125" style="1" hidden="1"/>
    <col min="482" max="482" width="36.5703125" style="1" hidden="1"/>
    <col min="483" max="483" width="8.5703125" style="1" hidden="1"/>
    <col min="484" max="484" width="20.85546875" style="1" hidden="1"/>
    <col min="485" max="485" width="1.5703125" style="1" hidden="1"/>
    <col min="486" max="486" width="36.5703125" style="1" hidden="1"/>
    <col min="487" max="487" width="8.5703125" style="1" hidden="1"/>
    <col min="488" max="488" width="20.85546875" style="1" hidden="1"/>
    <col min="489" max="489" width="1.5703125" style="1" hidden="1"/>
    <col min="490" max="490" width="36.5703125" style="1" hidden="1"/>
    <col min="491" max="491" width="8.5703125" style="1" hidden="1"/>
    <col min="492" max="492" width="20.85546875" style="1" hidden="1"/>
    <col min="493" max="493" width="1.5703125" style="1" hidden="1"/>
    <col min="494" max="494" width="36.5703125" style="1" hidden="1"/>
    <col min="495" max="495" width="8.5703125" style="1" hidden="1"/>
    <col min="496" max="496" width="20.85546875" style="1" hidden="1"/>
    <col min="497" max="497" width="1.5703125" style="1" hidden="1"/>
    <col min="498" max="498" width="36.5703125" style="1" hidden="1"/>
    <col min="499" max="499" width="8.5703125" style="1" hidden="1"/>
    <col min="500" max="500" width="20.85546875" style="1" hidden="1"/>
    <col min="501" max="501" width="1.5703125" style="1" hidden="1"/>
    <col min="502" max="502" width="36.5703125" style="1" hidden="1"/>
    <col min="503" max="16383" width="9" style="1" hidden="1"/>
    <col min="16384" max="16384" width="4.140625" style="1" hidden="1"/>
  </cols>
  <sheetData>
    <row r="1" spans="1:14" ht="14.25" customHeight="1" thickBot="1" x14ac:dyDescent="0.25"/>
    <row r="2" spans="1:14" ht="13.5" customHeight="1" x14ac:dyDescent="0.2">
      <c r="B2" s="2"/>
      <c r="C2" s="3"/>
      <c r="D2" s="3"/>
      <c r="E2" s="3"/>
      <c r="F2" s="3"/>
      <c r="G2" s="3"/>
      <c r="H2" s="3"/>
      <c r="I2" s="4"/>
      <c r="J2" s="5"/>
      <c r="K2" s="3"/>
      <c r="L2" s="3"/>
      <c r="M2" s="3"/>
      <c r="N2" s="3"/>
    </row>
    <row r="3" spans="1:14" ht="25.15" customHeight="1" x14ac:dyDescent="0.2">
      <c r="B3" s="6"/>
      <c r="C3" s="340" t="s">
        <v>159</v>
      </c>
      <c r="D3" s="340"/>
      <c r="E3" s="183"/>
      <c r="F3" s="183"/>
      <c r="G3" s="183"/>
      <c r="H3" s="183"/>
      <c r="I3" s="7"/>
      <c r="J3" s="5"/>
      <c r="K3" s="183"/>
      <c r="L3" s="183"/>
      <c r="M3" s="183"/>
      <c r="N3" s="183"/>
    </row>
    <row r="4" spans="1:14" ht="14.85" customHeight="1" x14ac:dyDescent="0.2">
      <c r="B4" s="6"/>
      <c r="C4" s="5"/>
      <c r="D4" s="5"/>
      <c r="E4" s="5"/>
      <c r="F4" s="5"/>
      <c r="G4" s="5"/>
      <c r="H4" s="5"/>
      <c r="I4" s="7"/>
      <c r="J4" s="5"/>
      <c r="L4" s="5"/>
      <c r="M4" s="5"/>
      <c r="N4" s="5"/>
    </row>
    <row r="5" spans="1:14" ht="30" x14ac:dyDescent="0.25">
      <c r="B5" s="6"/>
      <c r="C5" s="287" t="s">
        <v>237</v>
      </c>
      <c r="D5" s="289"/>
      <c r="E5" s="5"/>
      <c r="F5" s="154" t="s">
        <v>324</v>
      </c>
      <c r="G5" s="5"/>
      <c r="H5" s="5"/>
      <c r="I5" s="7"/>
      <c r="J5" s="5"/>
      <c r="L5" s="5"/>
      <c r="M5" s="5"/>
      <c r="N5" s="5"/>
    </row>
    <row r="6" spans="1:14" ht="14.85" customHeight="1" x14ac:dyDescent="0.2">
      <c r="B6" s="6"/>
      <c r="C6" s="338"/>
      <c r="D6" s="339"/>
      <c r="E6" s="5"/>
      <c r="F6" s="341">
        <v>1</v>
      </c>
      <c r="G6" s="5"/>
      <c r="H6" s="5"/>
      <c r="I6" s="7"/>
      <c r="J6" s="5"/>
      <c r="L6" s="5"/>
      <c r="M6" s="5"/>
      <c r="N6" s="5"/>
    </row>
    <row r="7" spans="1:14" ht="14.85" customHeight="1" x14ac:dyDescent="0.2">
      <c r="B7" s="6"/>
      <c r="C7" s="338"/>
      <c r="D7" s="339"/>
      <c r="E7" s="5"/>
      <c r="F7" s="342"/>
      <c r="G7" s="5"/>
      <c r="H7" s="5"/>
      <c r="I7" s="7"/>
      <c r="J7" s="5"/>
      <c r="L7" s="5"/>
      <c r="M7" s="5"/>
      <c r="N7" s="5"/>
    </row>
    <row r="8" spans="1:14" ht="14.85" customHeight="1" x14ac:dyDescent="0.2">
      <c r="B8" s="6"/>
      <c r="C8" s="338"/>
      <c r="D8" s="339"/>
      <c r="E8" s="5"/>
      <c r="F8" s="342"/>
      <c r="G8" s="5"/>
      <c r="H8" s="5"/>
      <c r="I8" s="7"/>
      <c r="J8" s="5"/>
      <c r="L8" s="5"/>
      <c r="M8" s="5"/>
      <c r="N8" s="5"/>
    </row>
    <row r="9" spans="1:14" ht="14.85" customHeight="1" x14ac:dyDescent="0.2">
      <c r="B9" s="6"/>
      <c r="C9" s="293"/>
      <c r="D9" s="295"/>
      <c r="E9" s="5"/>
      <c r="F9" s="343"/>
      <c r="G9" s="5"/>
      <c r="H9" s="5"/>
      <c r="I9" s="7"/>
      <c r="J9" s="5"/>
      <c r="L9" s="5"/>
      <c r="M9" s="5"/>
      <c r="N9" s="5"/>
    </row>
    <row r="10" spans="1:14" ht="14.85" customHeight="1" x14ac:dyDescent="0.2">
      <c r="B10" s="6"/>
      <c r="C10" s="5"/>
      <c r="D10" s="5"/>
      <c r="E10" s="5"/>
      <c r="F10" s="5"/>
      <c r="G10" s="5"/>
      <c r="H10" s="5"/>
      <c r="I10" s="7"/>
      <c r="J10" s="5"/>
      <c r="L10" s="5"/>
      <c r="M10" s="5"/>
      <c r="N10" s="5"/>
    </row>
    <row r="11" spans="1:14" ht="17.25" customHeight="1" x14ac:dyDescent="0.2">
      <c r="B11" s="6"/>
      <c r="C11" s="350" t="s">
        <v>233</v>
      </c>
      <c r="D11" s="350"/>
      <c r="E11" s="185"/>
      <c r="F11" s="185"/>
      <c r="G11" s="185"/>
      <c r="H11" s="185"/>
      <c r="I11" s="7"/>
      <c r="J11" s="5"/>
      <c r="K11" s="185"/>
      <c r="L11" s="185"/>
      <c r="M11" s="185"/>
      <c r="N11" s="185"/>
    </row>
    <row r="12" spans="1:14" s="101" customFormat="1" ht="14.85" customHeight="1" x14ac:dyDescent="0.2">
      <c r="A12" s="101" t="s">
        <v>242</v>
      </c>
      <c r="B12" s="98"/>
      <c r="C12" s="99"/>
      <c r="D12" s="99"/>
      <c r="E12" s="99"/>
      <c r="F12" s="99">
        <v>1</v>
      </c>
      <c r="G12" s="99"/>
      <c r="H12" s="99"/>
      <c r="I12" s="100"/>
      <c r="J12" s="99"/>
      <c r="L12" s="99">
        <v>1</v>
      </c>
      <c r="M12" s="99"/>
      <c r="N12" s="99"/>
    </row>
    <row r="13" spans="1:14" ht="41.65" customHeight="1" x14ac:dyDescent="0.2">
      <c r="B13" s="6"/>
      <c r="C13" s="346" t="s">
        <v>436</v>
      </c>
      <c r="D13" s="347"/>
      <c r="E13" s="8"/>
      <c r="F13" s="344" t="s">
        <v>6</v>
      </c>
      <c r="G13" s="345"/>
      <c r="H13" s="260" t="s">
        <v>437</v>
      </c>
      <c r="I13" s="9"/>
      <c r="J13" s="153"/>
      <c r="L13" s="344" t="s">
        <v>6</v>
      </c>
      <c r="M13" s="345"/>
      <c r="N13" s="260"/>
    </row>
    <row r="14" spans="1:14" ht="18" customHeight="1" x14ac:dyDescent="0.2">
      <c r="B14" s="6"/>
      <c r="C14" s="348"/>
      <c r="D14" s="349"/>
      <c r="E14" s="8"/>
      <c r="F14" s="344" t="s">
        <v>16</v>
      </c>
      <c r="G14" s="345"/>
      <c r="H14" s="193" t="s">
        <v>114</v>
      </c>
      <c r="I14" s="9"/>
      <c r="J14" s="153"/>
      <c r="L14" s="344" t="s">
        <v>16</v>
      </c>
      <c r="M14" s="345"/>
      <c r="N14" s="193"/>
    </row>
    <row r="15" spans="1:14" ht="18" customHeight="1" x14ac:dyDescent="0.2">
      <c r="B15" s="6"/>
      <c r="C15" s="348"/>
      <c r="D15" s="349"/>
      <c r="E15" s="8"/>
      <c r="F15" s="344" t="s">
        <v>17</v>
      </c>
      <c r="G15" s="345"/>
      <c r="H15" s="193" t="s">
        <v>438</v>
      </c>
      <c r="I15" s="9"/>
      <c r="J15" s="153"/>
      <c r="L15" s="344" t="s">
        <v>17</v>
      </c>
      <c r="M15" s="345"/>
      <c r="N15" s="193"/>
    </row>
    <row r="16" spans="1:14" ht="18" customHeight="1" x14ac:dyDescent="0.2">
      <c r="B16" s="6"/>
      <c r="C16" s="348"/>
      <c r="D16" s="349"/>
      <c r="E16" s="8"/>
      <c r="F16" s="344" t="s">
        <v>18</v>
      </c>
      <c r="G16" s="345"/>
      <c r="H16" s="193">
        <v>1343</v>
      </c>
      <c r="I16" s="9"/>
      <c r="J16" s="153"/>
      <c r="L16" s="344" t="s">
        <v>18</v>
      </c>
      <c r="M16" s="345"/>
      <c r="N16" s="193"/>
    </row>
    <row r="17" spans="2:14" ht="31.5" customHeight="1" x14ac:dyDescent="0.2">
      <c r="B17" s="6"/>
      <c r="C17" s="348"/>
      <c r="D17" s="349"/>
      <c r="E17" s="8"/>
      <c r="F17" s="368" t="s">
        <v>232</v>
      </c>
      <c r="G17" s="369"/>
      <c r="H17" s="194">
        <v>5.9000000000000004E-2</v>
      </c>
      <c r="I17" s="9"/>
      <c r="J17" s="153"/>
      <c r="L17" s="368" t="s">
        <v>232</v>
      </c>
      <c r="M17" s="369"/>
      <c r="N17" s="194"/>
    </row>
    <row r="18" spans="2:14" s="116" customFormat="1" ht="15" customHeight="1" x14ac:dyDescent="0.2">
      <c r="B18" s="117"/>
      <c r="C18" s="348"/>
      <c r="D18" s="349"/>
      <c r="E18" s="118"/>
      <c r="F18" s="187"/>
      <c r="G18" s="187"/>
      <c r="H18" s="187"/>
      <c r="I18" s="119"/>
      <c r="J18" s="118"/>
      <c r="L18" s="187"/>
      <c r="M18" s="187"/>
      <c r="N18" s="187"/>
    </row>
    <row r="19" spans="2:14" s="97" customFormat="1" ht="17.850000000000001" customHeight="1" x14ac:dyDescent="0.25">
      <c r="B19" s="94"/>
      <c r="C19" s="364" t="s">
        <v>367</v>
      </c>
      <c r="D19" s="365"/>
      <c r="E19" s="95"/>
      <c r="F19" s="371" t="s">
        <v>236</v>
      </c>
      <c r="G19" s="371"/>
      <c r="H19" s="371"/>
      <c r="I19" s="96"/>
      <c r="J19" s="95"/>
      <c r="L19" s="371" t="s">
        <v>236</v>
      </c>
      <c r="M19" s="371"/>
      <c r="N19" s="371"/>
    </row>
    <row r="20" spans="2:14" ht="31.5" customHeight="1" x14ac:dyDescent="0.2">
      <c r="B20" s="6"/>
      <c r="C20" s="364"/>
      <c r="D20" s="365"/>
      <c r="E20" s="5"/>
      <c r="F20" s="366" t="s">
        <v>440</v>
      </c>
      <c r="G20" s="366"/>
      <c r="H20" s="366"/>
      <c r="I20" s="7"/>
      <c r="J20" s="5"/>
      <c r="L20" s="366" t="str">
        <f>IF(OR(N$14="",N$15="",N$16="",N$17=""),"",
"- "&amp;RAG_Calculation!$H30&amp;
IF(N14="Primary"," primary schools with ",IF(N14="Secondary with sixth form"," secondary schools with a sixth form with ",IF(N14="Secondary without sixth form"," secondary schools without a sixth form with ",IF(N14="Special","special schools",IF(N14="Alternative provision","alternative provision schools",IF(N14="All-through","all-through schools",IF(N14="Nursery","nursery schools","")))))))&amp;RAG_Calculation!$I30)</f>
        <v/>
      </c>
      <c r="M20" s="366"/>
      <c r="N20" s="366"/>
    </row>
    <row r="21" spans="2:14" ht="30.6" customHeight="1" x14ac:dyDescent="0.2">
      <c r="B21" s="6"/>
      <c r="C21" s="364" t="s">
        <v>368</v>
      </c>
      <c r="D21" s="365"/>
      <c r="E21" s="5"/>
      <c r="F21" s="366" t="s">
        <v>441</v>
      </c>
      <c r="G21" s="366"/>
      <c r="H21" s="366"/>
      <c r="I21" s="7"/>
      <c r="J21" s="5"/>
      <c r="L21" s="366" t="str">
        <f>IF(OR(N$14="",N$15="",N$16="",N$17=""),"",
IF(N14="Primary","- primary schools ",IF(N14="Secondary with sixth form","- secondary schools with a sixth form ",IF(N14="Secondary without sixth form","- secondary schools without a sixth form ",IF(N14="Special","- special schools ",IF(N14="Alternative provision","- alternative provision schools ",IF(N14="All-through","- all-through schools ",IF(N14="Nursery","- nursery schools ","")))))))&amp;RAG_Calculation!$G30&amp;" (for average teacher cost only)")</f>
        <v/>
      </c>
      <c r="M21" s="366"/>
      <c r="N21" s="366"/>
    </row>
    <row r="22" spans="2:14" ht="14.65" customHeight="1" x14ac:dyDescent="0.2">
      <c r="B22" s="6"/>
      <c r="C22" s="338" t="s">
        <v>363</v>
      </c>
      <c r="D22" s="223"/>
      <c r="E22" s="5"/>
      <c r="F22" s="366"/>
      <c r="G22" s="366"/>
      <c r="H22" s="366"/>
      <c r="I22" s="7"/>
      <c r="J22" s="5"/>
      <c r="L22" s="366"/>
      <c r="M22" s="366"/>
      <c r="N22" s="366"/>
    </row>
    <row r="23" spans="2:14" ht="7.15" customHeight="1" x14ac:dyDescent="0.2">
      <c r="B23" s="6"/>
      <c r="C23" s="338"/>
      <c r="D23" s="223"/>
      <c r="E23" s="5"/>
      <c r="I23" s="7"/>
      <c r="J23" s="5"/>
      <c r="L23" s="224"/>
      <c r="M23" s="224"/>
      <c r="N23" s="224"/>
    </row>
    <row r="24" spans="2:14" ht="12.6" customHeight="1" x14ac:dyDescent="0.2">
      <c r="B24" s="6"/>
      <c r="C24" s="372" t="s">
        <v>369</v>
      </c>
      <c r="D24" s="373"/>
      <c r="E24" s="5"/>
      <c r="F24" s="186"/>
      <c r="G24" s="186"/>
      <c r="H24" s="186"/>
      <c r="I24" s="7"/>
      <c r="J24" s="5"/>
      <c r="L24" s="220"/>
      <c r="M24" s="220"/>
      <c r="N24" s="220"/>
    </row>
    <row r="25" spans="2:14" ht="21.6" customHeight="1" x14ac:dyDescent="0.2">
      <c r="B25" s="6"/>
      <c r="C25" s="372"/>
      <c r="D25" s="373"/>
      <c r="E25" s="5"/>
      <c r="F25" s="370" t="s">
        <v>318</v>
      </c>
      <c r="G25" s="370"/>
      <c r="H25" s="370"/>
      <c r="I25" s="7"/>
      <c r="J25" s="5"/>
      <c r="L25" s="370" t="s">
        <v>318</v>
      </c>
      <c r="M25" s="370"/>
      <c r="N25" s="370"/>
    </row>
    <row r="26" spans="2:14" ht="7.15" customHeight="1" x14ac:dyDescent="0.2">
      <c r="B26" s="6"/>
      <c r="C26" s="372"/>
      <c r="D26" s="373"/>
      <c r="E26" s="5"/>
      <c r="F26" s="92"/>
      <c r="G26" s="92"/>
      <c r="H26" s="92"/>
      <c r="I26" s="7"/>
      <c r="J26" s="5"/>
      <c r="L26" s="92"/>
      <c r="M26" s="92"/>
      <c r="N26" s="92"/>
    </row>
    <row r="27" spans="2:14" ht="19.149999999999999" customHeight="1" x14ac:dyDescent="0.2">
      <c r="B27" s="6"/>
      <c r="C27" s="219" t="s">
        <v>361</v>
      </c>
      <c r="D27" s="222"/>
      <c r="E27" s="5"/>
      <c r="F27" s="337" t="s">
        <v>435</v>
      </c>
      <c r="G27" s="337"/>
      <c r="H27" s="337"/>
      <c r="I27" s="7"/>
      <c r="J27" s="5"/>
      <c r="L27" s="337" t="s">
        <v>435</v>
      </c>
      <c r="M27" s="337"/>
      <c r="N27" s="337"/>
    </row>
    <row r="28" spans="2:14" ht="14.85" customHeight="1" x14ac:dyDescent="0.2">
      <c r="B28" s="6"/>
      <c r="E28" s="5"/>
      <c r="F28" s="337"/>
      <c r="G28" s="337"/>
      <c r="H28" s="337"/>
      <c r="I28" s="7"/>
      <c r="J28" s="5"/>
      <c r="L28" s="337"/>
      <c r="M28" s="337"/>
      <c r="N28" s="337"/>
    </row>
    <row r="29" spans="2:14" ht="14.85" customHeight="1" x14ac:dyDescent="0.2">
      <c r="B29" s="6"/>
      <c r="C29" s="321" t="s">
        <v>262</v>
      </c>
      <c r="D29" s="323"/>
      <c r="E29" s="5"/>
      <c r="F29" s="337"/>
      <c r="G29" s="337"/>
      <c r="H29" s="337"/>
      <c r="I29" s="7"/>
      <c r="J29" s="5"/>
      <c r="L29" s="337"/>
      <c r="M29" s="337"/>
      <c r="N29" s="337"/>
    </row>
    <row r="30" spans="2:14" ht="23.1" customHeight="1" x14ac:dyDescent="0.2">
      <c r="B30" s="6"/>
      <c r="C30" s="324"/>
      <c r="D30" s="326"/>
      <c r="E30" s="5"/>
      <c r="F30" s="367" t="s">
        <v>434</v>
      </c>
      <c r="G30" s="367"/>
      <c r="H30" s="367"/>
      <c r="I30" s="7"/>
      <c r="J30" s="5"/>
      <c r="L30" s="367" t="s">
        <v>434</v>
      </c>
      <c r="M30" s="367"/>
      <c r="N30" s="367"/>
    </row>
    <row r="31" spans="2:14" ht="23.1" customHeight="1" x14ac:dyDescent="0.2">
      <c r="B31" s="6"/>
      <c r="C31" s="324"/>
      <c r="D31" s="326"/>
      <c r="E31" s="5"/>
      <c r="F31" s="367"/>
      <c r="G31" s="367"/>
      <c r="H31" s="367"/>
      <c r="I31" s="7"/>
      <c r="J31" s="5"/>
      <c r="L31" s="367"/>
      <c r="M31" s="367"/>
      <c r="N31" s="367"/>
    </row>
    <row r="32" spans="2:14" ht="23.1" customHeight="1" x14ac:dyDescent="0.2">
      <c r="B32" s="6"/>
      <c r="C32" s="327"/>
      <c r="D32" s="329"/>
      <c r="E32" s="5"/>
      <c r="F32" s="360"/>
      <c r="G32" s="360"/>
      <c r="H32" s="360"/>
      <c r="I32" s="7"/>
      <c r="J32" s="5"/>
      <c r="L32" s="360"/>
      <c r="M32" s="360"/>
      <c r="N32" s="360"/>
    </row>
    <row r="33" spans="2:14" ht="5.65" customHeight="1" x14ac:dyDescent="0.2">
      <c r="B33" s="6"/>
      <c r="F33" s="86"/>
      <c r="I33" s="9"/>
      <c r="J33" s="153"/>
      <c r="L33" s="86"/>
    </row>
    <row r="34" spans="2:14" ht="5.65" customHeight="1" x14ac:dyDescent="0.2">
      <c r="B34" s="6"/>
      <c r="F34" s="360"/>
      <c r="G34" s="360"/>
      <c r="H34" s="360"/>
      <c r="I34" s="9"/>
      <c r="J34" s="153"/>
      <c r="L34" s="360"/>
      <c r="M34" s="360"/>
      <c r="N34" s="360"/>
    </row>
    <row r="35" spans="2:14" ht="5.65" customHeight="1" x14ac:dyDescent="0.2">
      <c r="B35" s="6"/>
      <c r="F35" s="86"/>
      <c r="I35" s="9"/>
      <c r="J35" s="153"/>
      <c r="L35" s="86"/>
    </row>
    <row r="36" spans="2:14" ht="5.65" customHeight="1" x14ac:dyDescent="0.2">
      <c r="B36" s="6"/>
      <c r="F36" s="86"/>
      <c r="I36" s="9"/>
      <c r="J36" s="153"/>
      <c r="L36" s="86"/>
    </row>
    <row r="37" spans="2:14" ht="15.6" customHeight="1" x14ac:dyDescent="0.2">
      <c r="B37" s="6"/>
      <c r="F37" s="362" t="s">
        <v>235</v>
      </c>
      <c r="H37" s="363" t="s">
        <v>22</v>
      </c>
      <c r="I37" s="7"/>
      <c r="J37" s="5"/>
      <c r="L37" s="362" t="s">
        <v>235</v>
      </c>
      <c r="N37" s="363" t="s">
        <v>22</v>
      </c>
    </row>
    <row r="38" spans="2:14" ht="15.6" customHeight="1" x14ac:dyDescent="0.2">
      <c r="B38" s="6"/>
      <c r="C38" s="5"/>
      <c r="F38" s="362"/>
      <c r="H38" s="363"/>
      <c r="I38" s="7"/>
      <c r="J38" s="5"/>
      <c r="L38" s="362"/>
      <c r="N38" s="363"/>
    </row>
    <row r="39" spans="2:14" ht="17.25" customHeight="1" x14ac:dyDescent="0.2">
      <c r="B39" s="6"/>
      <c r="C39" s="350" t="s">
        <v>234</v>
      </c>
      <c r="D39" s="350"/>
      <c r="E39" s="185"/>
      <c r="F39" s="185"/>
      <c r="G39" s="185"/>
      <c r="H39" s="185"/>
      <c r="I39" s="7"/>
      <c r="J39" s="5"/>
      <c r="K39" s="185"/>
      <c r="L39" s="185"/>
      <c r="M39" s="185"/>
      <c r="N39" s="185"/>
    </row>
    <row r="40" spans="2:14" ht="4.3499999999999996" customHeight="1" x14ac:dyDescent="0.2">
      <c r="B40" s="6"/>
      <c r="C40" s="10"/>
      <c r="D40" s="11"/>
      <c r="E40" s="11"/>
      <c r="F40" s="11"/>
      <c r="G40" s="11"/>
      <c r="H40" s="11"/>
      <c r="I40" s="7"/>
      <c r="J40" s="5"/>
      <c r="L40" s="11"/>
      <c r="M40" s="11"/>
      <c r="N40" s="11"/>
    </row>
    <row r="41" spans="2:14" ht="17.25" customHeight="1" x14ac:dyDescent="0.2">
      <c r="B41" s="6"/>
      <c r="C41" s="188" t="s">
        <v>23</v>
      </c>
      <c r="D41" s="189" t="s">
        <v>43</v>
      </c>
      <c r="E41" s="43"/>
      <c r="F41" s="87">
        <v>0.59417344173441733</v>
      </c>
      <c r="H41" s="282" t="s">
        <v>337</v>
      </c>
      <c r="I41" s="7"/>
      <c r="J41" s="5"/>
      <c r="L41" s="87"/>
      <c r="N41" s="195"/>
    </row>
    <row r="42" spans="2:14" ht="17.25" customHeight="1" x14ac:dyDescent="0.2">
      <c r="B42" s="6"/>
      <c r="C42" s="188" t="s">
        <v>24</v>
      </c>
      <c r="D42" s="189" t="s">
        <v>43</v>
      </c>
      <c r="E42" s="43"/>
      <c r="F42" s="88">
        <v>4.7425474254742545E-3</v>
      </c>
      <c r="H42" s="282" t="s">
        <v>337</v>
      </c>
      <c r="I42" s="7"/>
      <c r="J42" s="5"/>
      <c r="L42" s="88"/>
      <c r="N42" s="195"/>
    </row>
    <row r="43" spans="2:14" ht="17.100000000000001" customHeight="1" x14ac:dyDescent="0.2">
      <c r="B43" s="6"/>
      <c r="C43" s="188" t="s">
        <v>25</v>
      </c>
      <c r="D43" s="189" t="s">
        <v>43</v>
      </c>
      <c r="E43" s="43"/>
      <c r="F43" s="88">
        <v>0.12127371273712736</v>
      </c>
      <c r="H43" s="282" t="s">
        <v>343</v>
      </c>
      <c r="I43" s="7"/>
      <c r="J43" s="5"/>
      <c r="L43" s="88"/>
      <c r="N43" s="195"/>
    </row>
    <row r="44" spans="2:14" ht="17.25" customHeight="1" x14ac:dyDescent="0.2">
      <c r="B44" s="6"/>
      <c r="C44" s="188" t="s">
        <v>26</v>
      </c>
      <c r="D44" s="189" t="s">
        <v>43</v>
      </c>
      <c r="E44" s="43"/>
      <c r="F44" s="87">
        <v>8.2791327913279131E-2</v>
      </c>
      <c r="H44" s="282" t="s">
        <v>337</v>
      </c>
      <c r="I44" s="7"/>
      <c r="J44" s="5"/>
      <c r="L44" s="87"/>
      <c r="N44" s="195"/>
    </row>
    <row r="45" spans="2:14" ht="17.25" customHeight="1" x14ac:dyDescent="0.2">
      <c r="B45" s="6"/>
      <c r="C45" s="188" t="s">
        <v>27</v>
      </c>
      <c r="D45" s="189" t="s">
        <v>43</v>
      </c>
      <c r="E45" s="43"/>
      <c r="F45" s="88">
        <v>3.2520325203252032E-3</v>
      </c>
      <c r="H45" s="282" t="s">
        <v>337</v>
      </c>
      <c r="I45" s="7"/>
      <c r="J45" s="5"/>
      <c r="L45" s="88"/>
      <c r="N45" s="195"/>
    </row>
    <row r="46" spans="2:14" ht="17.25" customHeight="1" x14ac:dyDescent="0.2">
      <c r="B46" s="6"/>
      <c r="C46" s="188" t="s">
        <v>28</v>
      </c>
      <c r="D46" s="189" t="s">
        <v>43</v>
      </c>
      <c r="E46" s="43"/>
      <c r="F46" s="88">
        <v>6.2601626016260167E-2</v>
      </c>
      <c r="H46" s="282" t="s">
        <v>337</v>
      </c>
      <c r="I46" s="7"/>
      <c r="J46" s="5"/>
      <c r="L46" s="88"/>
      <c r="N46" s="195"/>
    </row>
    <row r="47" spans="2:14" ht="17.25" customHeight="1" x14ac:dyDescent="0.2">
      <c r="B47" s="6"/>
      <c r="C47" s="188" t="s">
        <v>40</v>
      </c>
      <c r="D47" s="189" t="s">
        <v>43</v>
      </c>
      <c r="E47" s="43"/>
      <c r="F47" s="87">
        <v>4.70189701897019E-2</v>
      </c>
      <c r="H47" s="282" t="s">
        <v>333</v>
      </c>
      <c r="I47" s="7"/>
      <c r="J47" s="5"/>
      <c r="L47" s="87"/>
      <c r="N47" s="195"/>
    </row>
    <row r="48" spans="2:14" ht="17.25" customHeight="1" x14ac:dyDescent="0.2">
      <c r="B48" s="6"/>
      <c r="C48" s="188" t="s">
        <v>30</v>
      </c>
      <c r="D48" s="189" t="s">
        <v>43</v>
      </c>
      <c r="E48" s="43"/>
      <c r="F48" s="88">
        <v>2.2764227642276424E-2</v>
      </c>
      <c r="H48" s="282" t="s">
        <v>343</v>
      </c>
      <c r="I48" s="7"/>
      <c r="J48" s="5"/>
      <c r="L48" s="88"/>
      <c r="N48" s="195"/>
    </row>
    <row r="49" spans="2:14" ht="17.25" customHeight="1" x14ac:dyDescent="0.2">
      <c r="B49" s="6"/>
      <c r="C49" s="188" t="s">
        <v>29</v>
      </c>
      <c r="D49" s="189" t="s">
        <v>43</v>
      </c>
      <c r="E49" s="43"/>
      <c r="F49" s="88">
        <v>6.1382113821138208E-2</v>
      </c>
      <c r="H49" s="282" t="s">
        <v>439</v>
      </c>
      <c r="I49" s="7"/>
      <c r="J49" s="5"/>
      <c r="L49" s="88"/>
      <c r="N49" s="195"/>
    </row>
    <row r="50" spans="2:14" ht="15.75" x14ac:dyDescent="0.25">
      <c r="B50" s="6"/>
      <c r="C50" s="10"/>
      <c r="D50" s="10"/>
      <c r="E50" s="10"/>
      <c r="F50" s="129" t="str">
        <f>IF(OR(ROUND(SUM(F41:F49),3)=100%,SUM(F41:F49)=0),"","Section must sum to 100%")</f>
        <v/>
      </c>
      <c r="G50" s="10"/>
      <c r="H50" s="10"/>
      <c r="I50" s="7"/>
      <c r="J50" s="5"/>
      <c r="L50" s="129" t="str">
        <f>IF(OR(ROUND(SUM(L41:L49),3)=100%,SUM(L41:L49)=0),"","Section must sum to 100%")</f>
        <v/>
      </c>
      <c r="M50" s="10"/>
      <c r="N50" s="10"/>
    </row>
    <row r="51" spans="2:14" ht="17.25" customHeight="1" x14ac:dyDescent="0.2">
      <c r="B51" s="6"/>
      <c r="C51" s="361" t="s">
        <v>36</v>
      </c>
      <c r="D51" s="361"/>
      <c r="E51" s="128"/>
      <c r="F51" s="128"/>
      <c r="G51" s="128"/>
      <c r="H51" s="128"/>
      <c r="I51" s="7"/>
      <c r="J51" s="5"/>
      <c r="K51" s="128"/>
      <c r="L51" s="128"/>
      <c r="M51" s="128"/>
      <c r="N51" s="128"/>
    </row>
    <row r="52" spans="2:14" ht="4.3499999999999996" customHeight="1" x14ac:dyDescent="0.2">
      <c r="B52" s="6"/>
      <c r="C52" s="10"/>
      <c r="D52" s="11"/>
      <c r="E52" s="11"/>
      <c r="F52" s="10"/>
      <c r="G52" s="11"/>
      <c r="H52" s="10"/>
      <c r="I52" s="7"/>
      <c r="J52" s="5"/>
      <c r="L52" s="10"/>
      <c r="M52" s="11"/>
      <c r="N52" s="10"/>
    </row>
    <row r="53" spans="2:14" ht="17.25" customHeight="1" x14ac:dyDescent="0.2">
      <c r="B53" s="6"/>
      <c r="C53" s="188" t="s">
        <v>31</v>
      </c>
      <c r="D53" s="189" t="s">
        <v>43</v>
      </c>
      <c r="E53" s="184"/>
      <c r="F53" s="88">
        <v>-1.8633540372670808E-2</v>
      </c>
      <c r="H53" s="282" t="s">
        <v>348</v>
      </c>
      <c r="I53" s="7"/>
      <c r="J53" s="5"/>
      <c r="L53" s="88"/>
      <c r="N53" s="195"/>
    </row>
    <row r="54" spans="2:14" ht="17.25" customHeight="1" x14ac:dyDescent="0.2">
      <c r="B54" s="6"/>
      <c r="C54" s="188" t="s">
        <v>41</v>
      </c>
      <c r="D54" s="189" t="s">
        <v>43</v>
      </c>
      <c r="E54" s="184"/>
      <c r="F54" s="88">
        <v>3.4782608695652174E-2</v>
      </c>
      <c r="H54" s="282" t="s">
        <v>350</v>
      </c>
      <c r="I54" s="7"/>
      <c r="J54" s="5"/>
      <c r="L54" s="88"/>
      <c r="N54" s="195" t="str">
        <f>IF(OR(N$14="",N$15="",N$16="",N$17="",L54=""),"",
IF(L54&lt;=-0.05,High,
IF(AND(L54&gt;-0.05,L54&lt;0),Medium,
IF(L54&gt;=0,Low,""))))</f>
        <v/>
      </c>
    </row>
    <row r="55" spans="2:14" ht="15" x14ac:dyDescent="0.2">
      <c r="B55" s="6"/>
      <c r="C55" s="10"/>
      <c r="D55" s="10"/>
      <c r="E55" s="10"/>
      <c r="F55" s="10"/>
      <c r="G55" s="10"/>
      <c r="H55" s="10"/>
      <c r="I55" s="7"/>
      <c r="J55" s="5"/>
      <c r="L55" s="10"/>
      <c r="M55" s="10"/>
      <c r="N55" s="10"/>
    </row>
    <row r="56" spans="2:14" ht="17.25" customHeight="1" x14ac:dyDescent="0.2">
      <c r="B56" s="6"/>
      <c r="C56" s="361" t="s">
        <v>37</v>
      </c>
      <c r="D56" s="361"/>
      <c r="E56" s="128"/>
      <c r="F56" s="128"/>
      <c r="G56" s="128"/>
      <c r="H56" s="128"/>
      <c r="I56" s="7"/>
      <c r="J56" s="5"/>
      <c r="K56" s="128"/>
      <c r="L56" s="128"/>
      <c r="M56" s="128"/>
      <c r="N56" s="128"/>
    </row>
    <row r="57" spans="2:14" ht="3.75" customHeight="1" x14ac:dyDescent="0.2">
      <c r="B57" s="6"/>
      <c r="C57" s="10"/>
      <c r="D57" s="11"/>
      <c r="E57" s="11"/>
      <c r="F57" s="10"/>
      <c r="G57" s="11"/>
      <c r="H57" s="10"/>
      <c r="I57" s="7"/>
      <c r="J57" s="5"/>
      <c r="L57" s="10"/>
      <c r="M57" s="11"/>
      <c r="N57" s="10"/>
    </row>
    <row r="58" spans="2:14" ht="17.25" customHeight="1" x14ac:dyDescent="0.2">
      <c r="B58" s="6"/>
      <c r="C58" s="188" t="s">
        <v>32</v>
      </c>
      <c r="D58" s="189" t="s">
        <v>43</v>
      </c>
      <c r="E58" s="43"/>
      <c r="F58" s="89">
        <v>62357.792946530157</v>
      </c>
      <c r="H58" s="282" t="s">
        <v>343</v>
      </c>
      <c r="I58" s="7"/>
      <c r="J58" s="5"/>
      <c r="L58" s="89"/>
      <c r="N58" s="195"/>
    </row>
    <row r="59" spans="2:14" ht="17.25" customHeight="1" x14ac:dyDescent="0.2">
      <c r="B59" s="6"/>
      <c r="C59" s="188" t="s">
        <v>33</v>
      </c>
      <c r="D59" s="189" t="s">
        <v>43</v>
      </c>
      <c r="E59" s="43"/>
      <c r="F59" s="88">
        <v>8.647526807333103E-2</v>
      </c>
      <c r="H59" s="282" t="s">
        <v>341</v>
      </c>
      <c r="I59" s="7"/>
      <c r="J59" s="5"/>
      <c r="L59" s="88"/>
      <c r="N59" s="195"/>
    </row>
    <row r="60" spans="2:14" ht="17.25" customHeight="1" x14ac:dyDescent="0.2">
      <c r="B60" s="6"/>
      <c r="C60" s="188" t="s">
        <v>4</v>
      </c>
      <c r="D60" s="189" t="s">
        <v>43</v>
      </c>
      <c r="E60" s="43"/>
      <c r="F60" s="90">
        <v>19.09840728100114</v>
      </c>
      <c r="H60" s="282" t="s">
        <v>341</v>
      </c>
      <c r="I60" s="7"/>
      <c r="J60" s="5"/>
      <c r="L60" s="90"/>
      <c r="N60" s="195"/>
    </row>
    <row r="61" spans="2:14" ht="17.25" customHeight="1" x14ac:dyDescent="0.2">
      <c r="B61" s="6"/>
      <c r="C61" s="188" t="s">
        <v>14</v>
      </c>
      <c r="D61" s="189" t="s">
        <v>43</v>
      </c>
      <c r="E61" s="43"/>
      <c r="F61" s="90">
        <v>11.613628502248357</v>
      </c>
      <c r="H61" s="282" t="s">
        <v>337</v>
      </c>
      <c r="I61" s="7"/>
      <c r="J61" s="5"/>
      <c r="L61" s="90"/>
      <c r="N61" s="195"/>
    </row>
    <row r="62" spans="2:14" ht="17.25" customHeight="1" x14ac:dyDescent="0.2">
      <c r="B62" s="6"/>
      <c r="C62" s="188" t="s">
        <v>34</v>
      </c>
      <c r="D62" s="189" t="s">
        <v>43</v>
      </c>
      <c r="E62" s="43"/>
      <c r="F62" s="91"/>
      <c r="H62" s="282"/>
      <c r="I62" s="7"/>
      <c r="J62" s="5"/>
      <c r="L62" s="91"/>
      <c r="N62" s="195" t="str">
        <f>IF(OR(N$14="",N$15="",N$16="",N$17="",L62=""),"",
IF(L62&lt;=0.7,MuchLower,
IF(AND(L62&gt;0.7,L62&lt;=0.74),Lower,
IF(AND(L62&gt;0.74,L62&lt;=0.8),Inline2,
IF(AND(L62&gt;0.8,L62&lt;=0.82),Higher,
IF(L62&gt;0.82,Muchhigher,""))))))</f>
        <v/>
      </c>
    </row>
    <row r="63" spans="2:14" ht="17.25" customHeight="1" x14ac:dyDescent="0.2">
      <c r="B63" s="6"/>
      <c r="C63" s="188" t="s">
        <v>35</v>
      </c>
      <c r="D63" s="189" t="s">
        <v>43</v>
      </c>
      <c r="E63" s="43"/>
      <c r="F63" s="88">
        <v>5.5E-2</v>
      </c>
      <c r="H63" s="282" t="s">
        <v>350</v>
      </c>
      <c r="I63" s="7"/>
      <c r="J63" s="5"/>
      <c r="L63" s="88"/>
      <c r="N63" s="195" t="str">
        <f>IF(OR(N$14="",N$15="",N$16="",N$17="",L63=""),"",
IF(L63&lt;=-0.1,High,
IF(AND(L63&gt;-0.1,L63&lt;=-0.02),Medium,
IF(L63&gt;=-0.02,Low,""))))</f>
        <v/>
      </c>
    </row>
    <row r="64" spans="2:14" ht="17.25" customHeight="1" x14ac:dyDescent="0.2">
      <c r="B64" s="6"/>
      <c r="C64" s="188" t="s">
        <v>0</v>
      </c>
      <c r="D64" s="189" t="s">
        <v>43</v>
      </c>
      <c r="E64" s="43"/>
      <c r="F64" s="90">
        <v>21.5</v>
      </c>
      <c r="H64" s="282" t="s">
        <v>339</v>
      </c>
      <c r="I64" s="7"/>
      <c r="J64" s="5"/>
      <c r="L64" s="90"/>
      <c r="N64" s="195"/>
    </row>
    <row r="65" spans="2:14" ht="15" x14ac:dyDescent="0.2">
      <c r="B65" s="6"/>
      <c r="C65" s="10"/>
      <c r="D65" s="10"/>
      <c r="E65" s="10"/>
      <c r="F65" s="10"/>
      <c r="G65" s="10"/>
      <c r="H65" s="10"/>
      <c r="I65" s="7"/>
      <c r="J65" s="5"/>
      <c r="L65" s="10"/>
      <c r="M65" s="10"/>
      <c r="N65" s="10"/>
    </row>
    <row r="66" spans="2:14" ht="17.25" customHeight="1" x14ac:dyDescent="0.2">
      <c r="B66" s="6"/>
      <c r="C66" s="361" t="s">
        <v>38</v>
      </c>
      <c r="D66" s="361"/>
      <c r="E66" s="128"/>
      <c r="F66" s="128"/>
      <c r="G66" s="128"/>
      <c r="H66" s="128"/>
      <c r="I66" s="7"/>
      <c r="J66" s="5"/>
      <c r="K66" s="128"/>
      <c r="L66" s="128"/>
      <c r="M66" s="128"/>
      <c r="N66" s="128"/>
    </row>
    <row r="67" spans="2:14" ht="4.3499999999999996" customHeight="1" x14ac:dyDescent="0.2">
      <c r="B67" s="6"/>
      <c r="C67" s="10"/>
      <c r="D67" s="11"/>
      <c r="E67" s="11"/>
      <c r="F67" s="10"/>
      <c r="G67" s="11"/>
      <c r="H67" s="10"/>
      <c r="I67" s="7"/>
      <c r="J67" s="5"/>
      <c r="L67" s="10"/>
      <c r="M67" s="11"/>
      <c r="N67" s="10"/>
    </row>
    <row r="68" spans="2:14" ht="17.25" customHeight="1" x14ac:dyDescent="0.2">
      <c r="B68" s="6"/>
      <c r="C68" s="188" t="s">
        <v>7</v>
      </c>
      <c r="D68" s="189" t="s">
        <v>43</v>
      </c>
      <c r="E68" s="43"/>
      <c r="F68" s="93" t="s">
        <v>347</v>
      </c>
      <c r="H68" s="282" t="str">
        <f ca="1">IF(OR(H$14="",H$15="",H$16="",H$17="",F68=""),"",INDIRECT(F68))</f>
        <v>Good</v>
      </c>
      <c r="I68" s="7"/>
      <c r="J68" s="5"/>
      <c r="L68" s="93"/>
      <c r="N68" s="195" t="str">
        <f ca="1">IF(OR(N$14="",N$15="",N$16="",N$17="",L68=""),"",INDIRECT(L68))</f>
        <v/>
      </c>
    </row>
    <row r="69" spans="2:14" ht="17.25" customHeight="1" x14ac:dyDescent="0.2">
      <c r="B69" s="6"/>
      <c r="C69" s="190" t="s">
        <v>8</v>
      </c>
      <c r="D69" s="189" t="s">
        <v>43</v>
      </c>
      <c r="E69" s="43"/>
      <c r="F69" s="90">
        <v>-0.22</v>
      </c>
      <c r="H69" s="282" t="str">
        <f>IF(OR(H$14="",H$15="",H$16="",H$17="",F69=""),"",
IF(F69&gt;=0.5,Wellabove,
IF(AND(F69&gt;=0,F69&lt;0.5),Average,
IF(AND(F69&gt;-0.5,F69&lt;0),Below,
IF(F69&lt;=-0.5,Wellbelow,"")))))</f>
        <v>Below average</v>
      </c>
      <c r="I69" s="7"/>
      <c r="J69" s="5"/>
      <c r="L69" s="90"/>
      <c r="N69" s="195" t="str">
        <f>IF(OR(N$14="",N$15="",N$16="",N$17="",L69=""),"",
IF(L69&gt;=0.5,Wellabove,
IF(AND(L69&gt;=0,L69&lt;0.5),Average,
IF(AND(L69&gt;-0.5,L69&lt;0),Below,
IF(L69&lt;=-0.5,Wellbelow,"")))))</f>
        <v/>
      </c>
    </row>
    <row r="70" spans="2:14" ht="17.25" customHeight="1" x14ac:dyDescent="0.2">
      <c r="B70" s="6"/>
      <c r="C70" s="188" t="s">
        <v>9</v>
      </c>
      <c r="D70" s="189" t="s">
        <v>43</v>
      </c>
      <c r="E70" s="43"/>
      <c r="F70" s="90"/>
      <c r="H70" s="282" t="str">
        <f>IF(OR(H$14="",H$15="",H$16="",H$17="",F70=""),"",
IF(F70&gt;=3.2,Wellabove,
IF(AND(F70&gt;=0,F70&lt;3.2),Average,
IF(AND(F70&gt;-2.7,F70&lt;0),Below,
IF(F70&lt;=-2.7,Wellbelow,"")))))</f>
        <v/>
      </c>
      <c r="I70" s="7"/>
      <c r="J70" s="5"/>
      <c r="L70" s="90"/>
      <c r="N70" s="195" t="str">
        <f>IF(OR(N$14="",N$15="",N$16="",N$17="",L70=""),"",
IF(L70&gt;=3.2,Wellabove,
IF(AND(L70&gt;=0,L70&lt;3.2),Average,
IF(AND(L70&gt;-2.7,L70&lt;0),Below,
IF(L70&lt;=-2.7,Wellbelow,"")))))</f>
        <v/>
      </c>
    </row>
    <row r="71" spans="2:14" ht="17.25" customHeight="1" x14ac:dyDescent="0.2">
      <c r="B71" s="6"/>
      <c r="C71" s="188" t="s">
        <v>10</v>
      </c>
      <c r="D71" s="189" t="s">
        <v>43</v>
      </c>
      <c r="E71" s="43"/>
      <c r="F71" s="90"/>
      <c r="H71" s="282" t="str">
        <f>IF(OR(H$14="",H$15="",H$16="",H$17="",F71=""),"",
IF(F71&gt;=2.7,Wellabove,
IF(AND(F71&gt;=0,F71&lt;2.7),Average,
IF(AND(F71&gt;-2.6,F71&lt;0),Below,
IF(F71&lt;=-2.6,Wellbelow,"")))))</f>
        <v/>
      </c>
      <c r="I71" s="7"/>
      <c r="J71" s="5"/>
      <c r="L71" s="90"/>
      <c r="N71" s="195" t="str">
        <f>IF(OR(N$14="",N$15="",N$16="",N$17="",L71=""),"",
IF(L71&gt;=2.7,Wellabove,
IF(AND(L71&gt;=0,L71&lt;2.7),Average,
IF(AND(L71&gt;-2.6,L71&lt;0),Below,
IF(L71&lt;=-2.6,Wellbelow,"")))))</f>
        <v/>
      </c>
    </row>
    <row r="72" spans="2:14" ht="17.25" customHeight="1" x14ac:dyDescent="0.2">
      <c r="B72" s="6"/>
      <c r="C72" s="188" t="s">
        <v>11</v>
      </c>
      <c r="D72" s="189" t="s">
        <v>43</v>
      </c>
      <c r="E72" s="43"/>
      <c r="F72" s="90"/>
      <c r="H72" s="282" t="str">
        <f>IF(OR(H$14="",H$15="",H$16="",H$17="",F72=""),"",
IF(F72&gt;=3.2,Wellabove,
IF(AND(F72&gt;=0,F72&lt;3.2),Average,
IF(AND(F72&gt;-3.1,F72&lt;0),Below,
IF(F72&lt;=-3.1,Wellbelow,"")))))</f>
        <v/>
      </c>
      <c r="I72" s="7"/>
      <c r="J72" s="5"/>
      <c r="L72" s="90"/>
      <c r="N72" s="195" t="str">
        <f>IF(OR(N$14="",N$15="",N$16="",N$17="",L72=""),"",
IF(L72&gt;=3.2,Wellabove,
IF(AND(L72&gt;=0,L72&lt;3.2),Average,
IF(AND(L72&gt;-3.1,L72&lt;0),Below,
IF(L72&lt;=-3.1,Wellbelow,"")))))</f>
        <v/>
      </c>
    </row>
    <row r="73" spans="2:14" ht="17.25" customHeight="1" x14ac:dyDescent="0.2">
      <c r="B73" s="6"/>
      <c r="C73" s="43"/>
      <c r="D73" s="191"/>
      <c r="E73" s="43"/>
      <c r="F73" s="43"/>
      <c r="G73" s="43"/>
      <c r="H73" s="43"/>
      <c r="I73" s="7"/>
      <c r="J73" s="5"/>
      <c r="L73" s="43"/>
      <c r="M73" s="43"/>
      <c r="N73" s="43"/>
    </row>
    <row r="74" spans="2:14" ht="17.25" customHeight="1" x14ac:dyDescent="0.2">
      <c r="B74" s="6"/>
      <c r="C74" s="361" t="s">
        <v>45</v>
      </c>
      <c r="D74" s="361"/>
      <c r="E74" s="128"/>
      <c r="F74" s="128"/>
      <c r="G74" s="128"/>
      <c r="H74" s="128"/>
      <c r="I74" s="7"/>
      <c r="J74" s="5"/>
      <c r="K74" s="128"/>
      <c r="L74" s="128"/>
      <c r="M74" s="128"/>
      <c r="N74" s="128"/>
    </row>
    <row r="75" spans="2:14" ht="4.3499999999999996" customHeight="1" x14ac:dyDescent="0.2">
      <c r="B75" s="6"/>
      <c r="C75" s="44"/>
      <c r="D75" s="191"/>
      <c r="E75" s="43"/>
      <c r="F75" s="43"/>
      <c r="G75" s="43"/>
      <c r="H75" s="43"/>
      <c r="I75" s="7"/>
      <c r="J75" s="5"/>
      <c r="L75" s="43"/>
      <c r="M75" s="43"/>
      <c r="N75" s="43"/>
    </row>
    <row r="76" spans="2:14" ht="17.25" customHeight="1" x14ac:dyDescent="0.2">
      <c r="B76" s="6"/>
      <c r="C76" s="351" t="s">
        <v>454</v>
      </c>
      <c r="D76" s="353"/>
      <c r="E76" s="192"/>
      <c r="F76" s="351" t="s">
        <v>455</v>
      </c>
      <c r="G76" s="352"/>
      <c r="H76" s="353"/>
      <c r="I76" s="7"/>
      <c r="J76" s="5"/>
      <c r="L76" s="351" t="s">
        <v>44</v>
      </c>
      <c r="M76" s="352"/>
      <c r="N76" s="353"/>
    </row>
    <row r="77" spans="2:14" ht="17.25" customHeight="1" x14ac:dyDescent="0.2">
      <c r="B77" s="6"/>
      <c r="C77" s="354"/>
      <c r="D77" s="356"/>
      <c r="E77" s="192"/>
      <c r="F77" s="354"/>
      <c r="G77" s="355"/>
      <c r="H77" s="356"/>
      <c r="I77" s="7"/>
      <c r="J77" s="5"/>
      <c r="L77" s="354"/>
      <c r="M77" s="355"/>
      <c r="N77" s="356"/>
    </row>
    <row r="78" spans="2:14" ht="17.25" customHeight="1" x14ac:dyDescent="0.2">
      <c r="B78" s="6"/>
      <c r="C78" s="354"/>
      <c r="D78" s="356"/>
      <c r="E78" s="192"/>
      <c r="F78" s="354"/>
      <c r="G78" s="355"/>
      <c r="H78" s="356"/>
      <c r="I78" s="7"/>
      <c r="J78" s="5"/>
      <c r="L78" s="354"/>
      <c r="M78" s="355"/>
      <c r="N78" s="356"/>
    </row>
    <row r="79" spans="2:14" ht="17.25" customHeight="1" x14ac:dyDescent="0.2">
      <c r="B79" s="6"/>
      <c r="C79" s="354"/>
      <c r="D79" s="356"/>
      <c r="E79" s="192"/>
      <c r="F79" s="354"/>
      <c r="G79" s="355"/>
      <c r="H79" s="356"/>
      <c r="I79" s="7"/>
      <c r="J79" s="5"/>
      <c r="L79" s="354"/>
      <c r="M79" s="355"/>
      <c r="N79" s="356"/>
    </row>
    <row r="80" spans="2:14" ht="17.25" customHeight="1" x14ac:dyDescent="0.2">
      <c r="B80" s="6"/>
      <c r="C80" s="354"/>
      <c r="D80" s="356"/>
      <c r="E80" s="192"/>
      <c r="F80" s="354"/>
      <c r="G80" s="355"/>
      <c r="H80" s="356"/>
      <c r="I80" s="7"/>
      <c r="J80" s="5"/>
      <c r="L80" s="354"/>
      <c r="M80" s="355"/>
      <c r="N80" s="356"/>
    </row>
    <row r="81" spans="2:14" ht="17.25" customHeight="1" x14ac:dyDescent="0.2">
      <c r="B81" s="6"/>
      <c r="C81" s="354"/>
      <c r="D81" s="356"/>
      <c r="E81" s="192"/>
      <c r="F81" s="354"/>
      <c r="G81" s="355"/>
      <c r="H81" s="356"/>
      <c r="I81" s="7"/>
      <c r="J81" s="5"/>
      <c r="L81" s="354"/>
      <c r="M81" s="355"/>
      <c r="N81" s="356"/>
    </row>
    <row r="82" spans="2:14" ht="17.25" customHeight="1" x14ac:dyDescent="0.2">
      <c r="B82" s="6"/>
      <c r="C82" s="357"/>
      <c r="D82" s="359"/>
      <c r="E82" s="192"/>
      <c r="F82" s="357"/>
      <c r="G82" s="358"/>
      <c r="H82" s="359"/>
      <c r="I82" s="7"/>
      <c r="J82" s="5"/>
      <c r="L82" s="357"/>
      <c r="M82" s="358"/>
      <c r="N82" s="359"/>
    </row>
    <row r="83" spans="2:14" ht="15" thickBot="1" x14ac:dyDescent="0.25">
      <c r="B83" s="12"/>
      <c r="C83" s="13"/>
      <c r="D83" s="13"/>
      <c r="E83" s="13"/>
      <c r="F83" s="13"/>
      <c r="G83" s="13"/>
      <c r="H83" s="13"/>
      <c r="I83" s="14"/>
      <c r="J83" s="5"/>
      <c r="K83" s="13"/>
      <c r="L83" s="13"/>
      <c r="M83" s="13"/>
      <c r="N83" s="13"/>
    </row>
    <row r="84" spans="2:14" ht="14.25" x14ac:dyDescent="0.2"/>
    <row r="85" spans="2:14" ht="14.25" x14ac:dyDescent="0.2"/>
    <row r="86" spans="2:14" ht="14.25" hidden="1" x14ac:dyDescent="0.2"/>
    <row r="87" spans="2:14" ht="14.25" hidden="1" x14ac:dyDescent="0.2"/>
    <row r="88" spans="2:14" ht="14.25" hidden="1" x14ac:dyDescent="0.2"/>
    <row r="89" spans="2:14" ht="14.25" hidden="1" x14ac:dyDescent="0.2"/>
    <row r="90" spans="2:14" ht="14.25" hidden="1" x14ac:dyDescent="0.2"/>
    <row r="91" spans="2:14" ht="14.25" hidden="1" x14ac:dyDescent="0.2"/>
  </sheetData>
  <sheetProtection password="9676" sheet="1" objects="1" scenarios="1"/>
  <protectedRanges>
    <protectedRange sqref="F58:F64 F41:F49 F68:F72 F53:F54 L58:L64 L41:L49 L68:L72 L53:L54" name="School data"/>
    <protectedRange sqref="H13:H17 N13:N17" name="School information"/>
  </protectedRanges>
  <mergeCells count="48">
    <mergeCell ref="L30:N31"/>
    <mergeCell ref="L37:L38"/>
    <mergeCell ref="N37:N38"/>
    <mergeCell ref="L13:M13"/>
    <mergeCell ref="L14:M14"/>
    <mergeCell ref="L15:M15"/>
    <mergeCell ref="L16:M16"/>
    <mergeCell ref="L27:N29"/>
    <mergeCell ref="L17:M17"/>
    <mergeCell ref="L19:N19"/>
    <mergeCell ref="L25:N25"/>
    <mergeCell ref="L20:N20"/>
    <mergeCell ref="L21:N22"/>
    <mergeCell ref="C19:D20"/>
    <mergeCell ref="F20:H20"/>
    <mergeCell ref="F30:H31"/>
    <mergeCell ref="F15:G15"/>
    <mergeCell ref="F16:G16"/>
    <mergeCell ref="F17:G17"/>
    <mergeCell ref="F25:H25"/>
    <mergeCell ref="F19:H19"/>
    <mergeCell ref="C24:D26"/>
    <mergeCell ref="F21:H22"/>
    <mergeCell ref="C21:D21"/>
    <mergeCell ref="C22:C23"/>
    <mergeCell ref="F76:H82"/>
    <mergeCell ref="L76:N82"/>
    <mergeCell ref="L32:N32"/>
    <mergeCell ref="L34:N34"/>
    <mergeCell ref="C29:D32"/>
    <mergeCell ref="F27:H29"/>
    <mergeCell ref="C76:D82"/>
    <mergeCell ref="C39:D39"/>
    <mergeCell ref="C51:D51"/>
    <mergeCell ref="C56:D56"/>
    <mergeCell ref="C66:D66"/>
    <mergeCell ref="C74:D74"/>
    <mergeCell ref="F32:H32"/>
    <mergeCell ref="F34:H34"/>
    <mergeCell ref="F37:F38"/>
    <mergeCell ref="H37:H38"/>
    <mergeCell ref="C5:D9"/>
    <mergeCell ref="C3:D3"/>
    <mergeCell ref="F6:F9"/>
    <mergeCell ref="F13:G13"/>
    <mergeCell ref="C13:D18"/>
    <mergeCell ref="F14:G14"/>
    <mergeCell ref="C11:D11"/>
  </mergeCells>
  <conditionalFormatting sqref="H41:H48 H58:H61 H64">
    <cfRule type="containsText" dxfId="125" priority="9611" operator="containsText" text="Middle 20%">
      <formula>NOT(ISERROR(SEARCH("Middle 20%",H41)))</formula>
    </cfRule>
    <cfRule type="containsText" dxfId="124" priority="9612" operator="containsText" text="Broadly">
      <formula>NOT(ISERROR(SEARCH("Broadly",H41)))</formula>
    </cfRule>
    <cfRule type="containsText" dxfId="123" priority="9613" operator="containsText" text="20%">
      <formula>NOT(ISERROR(SEARCH("20%",H41)))</formula>
    </cfRule>
    <cfRule type="containsText" dxfId="122" priority="9614" operator="containsText" text="10%">
      <formula>NOT(ISERROR(SEARCH("10%",H41)))</formula>
    </cfRule>
  </conditionalFormatting>
  <conditionalFormatting sqref="D69">
    <cfRule type="expression" dxfId="121" priority="9586">
      <formula>OR(#REF!="Primary",#REF!="Nursery")</formula>
    </cfRule>
  </conditionalFormatting>
  <conditionalFormatting sqref="D69">
    <cfRule type="expression" dxfId="120" priority="9582">
      <formula>#REF!="Nursery"</formula>
    </cfRule>
  </conditionalFormatting>
  <conditionalFormatting sqref="H62">
    <cfRule type="expression" dxfId="119" priority="7546">
      <formula>OR(H14="Nursery",H14="Alternative provision",H14="Special")</formula>
    </cfRule>
    <cfRule type="containsText" dxfId="118" priority="9028" operator="containsText" text="Broadly">
      <formula>NOT(ISERROR(SEARCH("Broadly",H62)))</formula>
    </cfRule>
    <cfRule type="containsText" dxfId="117" priority="9029" operator="containsText" text="Much">
      <formula>NOT(ISERROR(SEARCH("Much",H62)))</formula>
    </cfRule>
    <cfRule type="containsText" dxfId="116" priority="9030" operator="containsText" text="Than">
      <formula>NOT(ISERROR(SEARCH("Than",H62)))</formula>
    </cfRule>
  </conditionalFormatting>
  <conditionalFormatting sqref="H53:H54">
    <cfRule type="containsText" dxfId="115" priority="9036" operator="containsText" text="Low">
      <formula>NOT(ISERROR(SEARCH("Low",H53)))</formula>
    </cfRule>
    <cfRule type="containsText" dxfId="114" priority="9037" operator="containsText" text="Medium">
      <formula>NOT(ISERROR(SEARCH("Medium",H53)))</formula>
    </cfRule>
    <cfRule type="containsText" dxfId="113" priority="9038" operator="containsText" text="High">
      <formula>NOT(ISERROR(SEARCH("High",H53)))</formula>
    </cfRule>
  </conditionalFormatting>
  <conditionalFormatting sqref="H68">
    <cfRule type="containsText" dxfId="112" priority="9023" operator="containsText" text="Outstanding">
      <formula>NOT(ISERROR(SEARCH("Outstanding",H68)))</formula>
    </cfRule>
    <cfRule type="containsText" dxfId="111" priority="9024" operator="containsText" text="Good">
      <formula>NOT(ISERROR(SEARCH("Good",H68)))</formula>
    </cfRule>
    <cfRule type="containsText" dxfId="110" priority="9025" operator="containsText" text="Requires Improvement">
      <formula>NOT(ISERROR(SEARCH("Requires Improvement",H68)))</formula>
    </cfRule>
    <cfRule type="containsText" dxfId="109" priority="9026" operator="containsText" text="Inadequate">
      <formula>NOT(ISERROR(SEARCH("Inadequate",H68)))</formula>
    </cfRule>
  </conditionalFormatting>
  <conditionalFormatting sqref="H69">
    <cfRule type="expression" dxfId="108" priority="7543">
      <formula>H14="Nursery"</formula>
    </cfRule>
    <cfRule type="expression" dxfId="107" priority="7544">
      <formula>H14="Primary"</formula>
    </cfRule>
    <cfRule type="containsText" dxfId="106" priority="9019" operator="containsText" text="Well above">
      <formula>NOT(ISERROR(SEARCH("Well above",H69)))</formula>
    </cfRule>
    <cfRule type="containsText" dxfId="105" priority="9020" operator="containsText" text="Above">
      <formula>NOT(ISERROR(SEARCH("Above",H69)))</formula>
    </cfRule>
    <cfRule type="containsText" dxfId="104" priority="9021" operator="containsText" text="Well below">
      <formula>NOT(ISERROR(SEARCH("Well below",H69)))</formula>
    </cfRule>
    <cfRule type="containsText" dxfId="103" priority="9022" operator="containsText" text="Below">
      <formula>NOT(ISERROR(SEARCH("Below",H69)))</formula>
    </cfRule>
  </conditionalFormatting>
  <conditionalFormatting sqref="H63">
    <cfRule type="containsText" dxfId="102" priority="8138" operator="containsText" text="Low">
      <formula>NOT(ISERROR(SEARCH("Low",H63)))</formula>
    </cfRule>
    <cfRule type="containsText" dxfId="101" priority="8139" operator="containsText" text="Medium">
      <formula>NOT(ISERROR(SEARCH("Medium",H63)))</formula>
    </cfRule>
    <cfRule type="containsText" dxfId="100" priority="8140" operator="containsText" text="High">
      <formula>NOT(ISERROR(SEARCH("High",H63)))</formula>
    </cfRule>
  </conditionalFormatting>
  <conditionalFormatting sqref="H70">
    <cfRule type="expression" dxfId="99" priority="8086">
      <formula>H14="Nursery"</formula>
    </cfRule>
    <cfRule type="expression" dxfId="98" priority="8087">
      <formula>OR(H14="Secondary with sixth form",H14="Secondary without sixth form")</formula>
    </cfRule>
    <cfRule type="containsText" dxfId="97" priority="8134" operator="containsText" text="Well above">
      <formula>NOT(ISERROR(SEARCH("Well above",H70)))</formula>
    </cfRule>
    <cfRule type="containsText" dxfId="96" priority="8135" operator="containsText" text="Above">
      <formula>NOT(ISERROR(SEARCH("Above",H70)))</formula>
    </cfRule>
    <cfRule type="containsText" dxfId="95" priority="8136" operator="containsText" text="Well below">
      <formula>NOT(ISERROR(SEARCH("Well below",H70)))</formula>
    </cfRule>
    <cfRule type="containsText" dxfId="94" priority="8137" operator="containsText" text="Below">
      <formula>NOT(ISERROR(SEARCH("Below",H70)))</formula>
    </cfRule>
  </conditionalFormatting>
  <conditionalFormatting sqref="H71">
    <cfRule type="expression" dxfId="93" priority="7540">
      <formula>OR(H14="Secondary with sixth form",H14="Secondary without sixth form",H14="Nursery")</formula>
    </cfRule>
    <cfRule type="containsText" dxfId="92" priority="8130" operator="containsText" text="Well above">
      <formula>NOT(ISERROR(SEARCH("Well above",H71)))</formula>
    </cfRule>
    <cfRule type="containsText" dxfId="91" priority="8131" operator="containsText" text="Above">
      <formula>NOT(ISERROR(SEARCH("Above",H71)))</formula>
    </cfRule>
    <cfRule type="containsText" dxfId="90" priority="8132" operator="containsText" text="Well below">
      <formula>NOT(ISERROR(SEARCH("Well below",H71)))</formula>
    </cfRule>
    <cfRule type="containsText" dxfId="89" priority="8133" operator="containsText" text="Below">
      <formula>NOT(ISERROR(SEARCH("Below",H71)))</formula>
    </cfRule>
  </conditionalFormatting>
  <conditionalFormatting sqref="F62">
    <cfRule type="expression" dxfId="88" priority="8091">
      <formula>OR(H14="Nursery",H14="Alternative provision",H14="Special")</formula>
    </cfRule>
  </conditionalFormatting>
  <conditionalFormatting sqref="F64">
    <cfRule type="expression" dxfId="87" priority="8090">
      <formula>OR(H14="Nursery",H14="Alternative provision",H14="Special")</formula>
    </cfRule>
  </conditionalFormatting>
  <conditionalFormatting sqref="F71">
    <cfRule type="expression" dxfId="86" priority="8085">
      <formula>OR(H14="Secondary with sixth form",H14="Secondary without sixth form",H14="Nursery")</formula>
    </cfRule>
  </conditionalFormatting>
  <conditionalFormatting sqref="H72">
    <cfRule type="expression" dxfId="85" priority="8080">
      <formula>OR(H14="Secondary with sixth form",H14="Secondary without sixth form",H14="Nursery")</formula>
    </cfRule>
    <cfRule type="containsText" dxfId="84" priority="8081" operator="containsText" text="Well above">
      <formula>NOT(ISERROR(SEARCH("Well above",H72)))</formula>
    </cfRule>
    <cfRule type="containsText" dxfId="83" priority="8082" operator="containsText" text="Above">
      <formula>NOT(ISERROR(SEARCH("Above",H72)))</formula>
    </cfRule>
    <cfRule type="containsText" dxfId="82" priority="8083" operator="containsText" text="Well below">
      <formula>NOT(ISERROR(SEARCH("Well below",H72)))</formula>
    </cfRule>
    <cfRule type="containsText" dxfId="81" priority="8084" operator="containsText" text="Below">
      <formula>NOT(ISERROR(SEARCH("Below",H72)))</formula>
    </cfRule>
  </conditionalFormatting>
  <conditionalFormatting sqref="H64">
    <cfRule type="expression" dxfId="80" priority="7545">
      <formula>OR(H14="Nursery",H14="Alternative provision",H14="Special")</formula>
    </cfRule>
  </conditionalFormatting>
  <conditionalFormatting sqref="F69">
    <cfRule type="expression" dxfId="79" priority="8088">
      <formula>H14="Nursery"</formula>
    </cfRule>
    <cfRule type="expression" dxfId="78" priority="8089">
      <formula>H14="Primary"</formula>
    </cfRule>
  </conditionalFormatting>
  <conditionalFormatting sqref="F70">
    <cfRule type="expression" dxfId="77" priority="7541">
      <formula>OR(H14="Secondary with sixth form",H14="Secondary without sixth form")</formula>
    </cfRule>
    <cfRule type="expression" dxfId="76" priority="7542">
      <formula>H14="Nursery"</formula>
    </cfRule>
  </conditionalFormatting>
  <conditionalFormatting sqref="F72">
    <cfRule type="expression" dxfId="75" priority="7539">
      <formula>OR(H14="Secondary with sixth form",H14="Secondary without sixth form",H14="Nursery")</formula>
    </cfRule>
  </conditionalFormatting>
  <conditionalFormatting sqref="N41:N48 N58:N61 N64">
    <cfRule type="containsText" dxfId="74" priority="6471" operator="containsText" text="Middle 20%">
      <formula>NOT(ISERROR(SEARCH("Middle 20%",N41)))</formula>
    </cfRule>
    <cfRule type="containsText" dxfId="73" priority="6472" operator="containsText" text="Broadly">
      <formula>NOT(ISERROR(SEARCH("Broadly",N41)))</formula>
    </cfRule>
    <cfRule type="containsText" dxfId="72" priority="6473" operator="containsText" text="20%">
      <formula>NOT(ISERROR(SEARCH("20%",N41)))</formula>
    </cfRule>
    <cfRule type="containsText" dxfId="71" priority="6474" operator="containsText" text="10%">
      <formula>NOT(ISERROR(SEARCH("10%",N41)))</formula>
    </cfRule>
  </conditionalFormatting>
  <conditionalFormatting sqref="N53">
    <cfRule type="containsText" dxfId="70" priority="6467" operator="containsText" text="Low">
      <formula>NOT(ISERROR(SEARCH("Low",N53)))</formula>
    </cfRule>
    <cfRule type="containsText" dxfId="69" priority="6468" operator="containsText" text="Medium">
      <formula>NOT(ISERROR(SEARCH("Medium",N53)))</formula>
    </cfRule>
    <cfRule type="containsText" dxfId="68" priority="6469" operator="containsText" text="High">
      <formula>NOT(ISERROR(SEARCH("High",N53)))</formula>
    </cfRule>
  </conditionalFormatting>
  <conditionalFormatting sqref="L62">
    <cfRule type="expression" dxfId="67" priority="6444">
      <formula>OR(N14="Nursery",N14="Alternative provision",N14="Special")</formula>
    </cfRule>
  </conditionalFormatting>
  <conditionalFormatting sqref="L64">
    <cfRule type="expression" dxfId="66" priority="6443">
      <formula>OR(N14="Nursery",N14="Alternative provision",N14="Special")</formula>
    </cfRule>
  </conditionalFormatting>
  <conditionalFormatting sqref="L71">
    <cfRule type="expression" dxfId="65" priority="6438">
      <formula>OR(N14="Secondary with sixth form",N14="Secondary without sixth form",N14="Nursery")</formula>
    </cfRule>
  </conditionalFormatting>
  <conditionalFormatting sqref="N64">
    <cfRule type="expression" dxfId="64" priority="6431">
      <formula>OR(N14="Nursery",N14="Alternative provision",N14="Special")</formula>
    </cfRule>
  </conditionalFormatting>
  <conditionalFormatting sqref="L69">
    <cfRule type="expression" dxfId="63" priority="6441">
      <formula>N14="Nursery"</formula>
    </cfRule>
    <cfRule type="expression" dxfId="62" priority="6442">
      <formula>N14="Primary"</formula>
    </cfRule>
  </conditionalFormatting>
  <conditionalFormatting sqref="L70">
    <cfRule type="expression" dxfId="61" priority="6427">
      <formula>OR(N14="Secondary with sixth form",N14="Secondary without sixth form")</formula>
    </cfRule>
    <cfRule type="expression" dxfId="60" priority="6428">
      <formula>N14="Nursery"</formula>
    </cfRule>
  </conditionalFormatting>
  <conditionalFormatting sqref="L72">
    <cfRule type="expression" dxfId="59" priority="6425">
      <formula>OR(N14="Secondary with sixth form",N14="Secondary without sixth form",N14="Nursery")</formula>
    </cfRule>
  </conditionalFormatting>
  <conditionalFormatting sqref="N54">
    <cfRule type="containsText" dxfId="58" priority="6422" operator="containsText" text="Low">
      <formula>NOT(ISERROR(SEARCH("Low",N54)))</formula>
    </cfRule>
    <cfRule type="containsText" dxfId="57" priority="6423" operator="containsText" text="Medium">
      <formula>NOT(ISERROR(SEARCH("Medium",N54)))</formula>
    </cfRule>
    <cfRule type="containsText" dxfId="56" priority="6424" operator="containsText" text="High">
      <formula>NOT(ISERROR(SEARCH("High",N54)))</formula>
    </cfRule>
  </conditionalFormatting>
  <conditionalFormatting sqref="N62">
    <cfRule type="expression" dxfId="55" priority="6415">
      <formula>OR(N14="Nursery",N14="Alternative provision",N14="Special")</formula>
    </cfRule>
    <cfRule type="containsText" dxfId="54" priority="6419" operator="containsText" text="Broadly">
      <formula>NOT(ISERROR(SEARCH("Broadly",N62)))</formula>
    </cfRule>
    <cfRule type="containsText" dxfId="53" priority="6420" operator="containsText" text="Much">
      <formula>NOT(ISERROR(SEARCH("Much",N62)))</formula>
    </cfRule>
    <cfRule type="containsText" dxfId="52" priority="6421" operator="containsText" text="Than">
      <formula>NOT(ISERROR(SEARCH("Than",N62)))</formula>
    </cfRule>
  </conditionalFormatting>
  <conditionalFormatting sqref="N63">
    <cfRule type="containsText" dxfId="51" priority="6416" operator="containsText" text="Low">
      <formula>NOT(ISERROR(SEARCH("Low",N63)))</formula>
    </cfRule>
    <cfRule type="containsText" dxfId="50" priority="6417" operator="containsText" text="Medium">
      <formula>NOT(ISERROR(SEARCH("Medium",N63)))</formula>
    </cfRule>
    <cfRule type="containsText" dxfId="49" priority="6418" operator="containsText" text="High">
      <formula>NOT(ISERROR(SEARCH("High",N63)))</formula>
    </cfRule>
  </conditionalFormatting>
  <conditionalFormatting sqref="N68">
    <cfRule type="containsText" dxfId="48" priority="6411" operator="containsText" text="Outstanding">
      <formula>NOT(ISERROR(SEARCH("Outstanding",N68)))</formula>
    </cfRule>
    <cfRule type="containsText" dxfId="47" priority="6412" operator="containsText" text="Good">
      <formula>NOT(ISERROR(SEARCH("Good",N68)))</formula>
    </cfRule>
    <cfRule type="containsText" dxfId="46" priority="6413" operator="containsText" text="Requires Improvement">
      <formula>NOT(ISERROR(SEARCH("Requires Improvement",N68)))</formula>
    </cfRule>
    <cfRule type="containsText" dxfId="45" priority="6414" operator="containsText" text="Inadequate">
      <formula>NOT(ISERROR(SEARCH("Inadequate",N68)))</formula>
    </cfRule>
  </conditionalFormatting>
  <conditionalFormatting sqref="N69">
    <cfRule type="expression" dxfId="44" priority="4682">
      <formula>N14="Nursery"</formula>
    </cfRule>
    <cfRule type="expression" dxfId="43" priority="4683">
      <formula>N14="Primary"</formula>
    </cfRule>
    <cfRule type="containsText" dxfId="42" priority="4699" operator="containsText" text="Well above">
      <formula>NOT(ISERROR(SEARCH("Well above",N69)))</formula>
    </cfRule>
    <cfRule type="containsText" dxfId="41" priority="4700" operator="containsText" text="Above">
      <formula>NOT(ISERROR(SEARCH("Above",N69)))</formula>
    </cfRule>
    <cfRule type="containsText" dxfId="40" priority="4701" operator="containsText" text="Well below">
      <formula>NOT(ISERROR(SEARCH("Well below",N69)))</formula>
    </cfRule>
    <cfRule type="containsText" dxfId="39" priority="4702" operator="containsText" text="Below">
      <formula>NOT(ISERROR(SEARCH("Below",N69)))</formula>
    </cfRule>
  </conditionalFormatting>
  <conditionalFormatting sqref="N70">
    <cfRule type="expression" dxfId="38" priority="4689">
      <formula>N14="Nursery"</formula>
    </cfRule>
    <cfRule type="expression" dxfId="37" priority="4690">
      <formula>OR(N14="Secondary with sixth form",N14="Secondary without sixth form")</formula>
    </cfRule>
    <cfRule type="containsText" dxfId="36" priority="4695" operator="containsText" text="Well above">
      <formula>NOT(ISERROR(SEARCH("Well above",N70)))</formula>
    </cfRule>
    <cfRule type="containsText" dxfId="35" priority="4696" operator="containsText" text="Above">
      <formula>NOT(ISERROR(SEARCH("Above",N70)))</formula>
    </cfRule>
    <cfRule type="containsText" dxfId="34" priority="4697" operator="containsText" text="Well below">
      <formula>NOT(ISERROR(SEARCH("Well below",N70)))</formula>
    </cfRule>
    <cfRule type="containsText" dxfId="33" priority="4698" operator="containsText" text="Below">
      <formula>NOT(ISERROR(SEARCH("Below",N70)))</formula>
    </cfRule>
  </conditionalFormatting>
  <conditionalFormatting sqref="N71">
    <cfRule type="expression" dxfId="32" priority="4681">
      <formula>OR(N14="Secondary with sixth form",N14="Secondary without sixth form",N14="Nursery")</formula>
    </cfRule>
    <cfRule type="containsText" dxfId="31" priority="4691" operator="containsText" text="Well above">
      <formula>NOT(ISERROR(SEARCH("Well above",N71)))</formula>
    </cfRule>
    <cfRule type="containsText" dxfId="30" priority="4692" operator="containsText" text="Above">
      <formula>NOT(ISERROR(SEARCH("Above",N71)))</formula>
    </cfRule>
    <cfRule type="containsText" dxfId="29" priority="4693" operator="containsText" text="Well below">
      <formula>NOT(ISERROR(SEARCH("Well below",N71)))</formula>
    </cfRule>
    <cfRule type="containsText" dxfId="28" priority="4694" operator="containsText" text="Below">
      <formula>NOT(ISERROR(SEARCH("Below",N71)))</formula>
    </cfRule>
  </conditionalFormatting>
  <conditionalFormatting sqref="N72">
    <cfRule type="expression" dxfId="27" priority="4684">
      <formula>OR(N14="Secondary with sixth form",N14="Secondary without sixth form",N14="Nursery")</formula>
    </cfRule>
    <cfRule type="containsText" dxfId="26" priority="4685" operator="containsText" text="Well above">
      <formula>NOT(ISERROR(SEARCH("Well above",N72)))</formula>
    </cfRule>
    <cfRule type="containsText" dxfId="25" priority="4686" operator="containsText" text="Above">
      <formula>NOT(ISERROR(SEARCH("Above",N72)))</formula>
    </cfRule>
    <cfRule type="containsText" dxfId="24" priority="4687" operator="containsText" text="Well below">
      <formula>NOT(ISERROR(SEARCH("Well below",N72)))</formula>
    </cfRule>
    <cfRule type="containsText" dxfId="23" priority="4688" operator="containsText" text="Below">
      <formula>NOT(ISERROR(SEARCH("Below",N72)))</formula>
    </cfRule>
  </conditionalFormatting>
  <dataValidations count="17">
    <dataValidation allowBlank="1" showInputMessage="1" showErrorMessage="1" prompt="Input ratio here or use raw data form to input underlying data" sqref="F62 L62"/>
    <dataValidation allowBlank="1" showInputMessage="1" showErrorMessage="1" prompt="Input ratio here or use raw data form to input workforce data" sqref="F60:F61 L60:L61"/>
    <dataValidation allowBlank="1" showInputMessage="1" showErrorMessage="1" prompt="Input percentage here or use raw data form to input workforce data" sqref="F59 L59"/>
    <dataValidation allowBlank="1" showInputMessage="1" showErrorMessage="1" prompt="Input cost here or use raw data form to input spending and workforce data" sqref="F58 L58"/>
    <dataValidation allowBlank="1" showInputMessage="1" showErrorMessage="1" prompt="Input percentage here or use raw data form to input balance and income data" sqref="F53 L53"/>
    <dataValidation allowBlank="1" showInputMessage="1" showErrorMessage="1" prompt="Input percentage here or use raw data form to input reserves and income data" sqref="F54 L54"/>
    <dataValidation allowBlank="1" showInputMessage="1" showErrorMessage="1" prompt="Input percentage here or use raw data form to input spending data" sqref="F41:F49 L41:L49"/>
    <dataValidation type="list" allowBlank="1" showInputMessage="1" showErrorMessage="1" prompt="Select phase from list" sqref="N14 H14">
      <formula1>"Primary,Secondary with sixth form,Secondary without sixth form,All-through,Special,Alternative provision,Nursery"</formula1>
    </dataValidation>
    <dataValidation allowBlank="1" showInputMessage="1" showErrorMessage="1" prompt="Input percentage of pupils eligible for FSM" sqref="N17 H17"/>
    <dataValidation allowBlank="1" showInputMessage="1" showErrorMessage="1" prompt="Input number of pupils" sqref="N16 H16"/>
    <dataValidation type="list" allowBlank="1" showInputMessage="1" showErrorMessage="1" prompt="Select region from list" sqref="N15 H15">
      <formula1>"East Midlands,East of England,Inner London,North East,North West,Outer London,South East,South West, West Midlands, Yorkshire and the Humber"</formula1>
    </dataValidation>
    <dataValidation allowBlank="1" showInputMessage="1" showErrorMessage="1" prompt="Input percentage" sqref="F63 L63"/>
    <dataValidation allowBlank="1" showInputMessage="1" showErrorMessage="1" prompt="Input average class size" sqref="F64 L64"/>
    <dataValidation type="list" allowBlank="1" showInputMessage="1" showErrorMessage="1" prompt="Select rating from list" sqref="F68 L68">
      <formula1>"Outstanding, Good, RI, Inadequate"</formula1>
    </dataValidation>
    <dataValidation allowBlank="1" showInputMessage="1" showErrorMessage="1" prompt="Input progress score" sqref="F69:F72 L69:L72"/>
    <dataValidation type="whole" operator="greaterThan" allowBlank="1" showInputMessage="1" showErrorMessage="1" errorTitle="Invalid entry" error="Please enter a number of schools that is greater than 0, and is a whole number." sqref="F6:F9">
      <formula1>0</formula1>
    </dataValidation>
    <dataValidation allowBlank="1" showErrorMessage="1" sqref="F76:H82"/>
  </dataValidations>
  <hyperlinks>
    <hyperlink ref="D41" r:id="rId1" location="spend-on-teaching-staff-as-a-percentage-of-total-expenditure"/>
    <hyperlink ref="D42" r:id="rId2" location="spend-on-supply-staff-as-a-percentage-of-total-expenditure"/>
    <hyperlink ref="D43" r:id="rId3" location="spend-on-education-support-staff-as-a-percentage-of-total-expenditure"/>
    <hyperlink ref="D44" r:id="rId4" location="spend-on-administrative-and-clerical-staff-as-a-percentage-of-total-expenditure"/>
    <hyperlink ref="D45" r:id="rId5" location="spend-on-other-staff-costs-as-a-percentage-of-total-expenditure"/>
    <hyperlink ref="D46" r:id="rId6" location="spend-on-premises-including-staff-costs-as-a-percentage-of-total-expenditure"/>
    <hyperlink ref="D47" r:id="rId7" location="spend-on-teaching-resources-as-a-percentage-of-total-expenditure"/>
    <hyperlink ref="D48" r:id="rId8" location="spend-on-energy-as-a-percentage-of-total-expenditure"/>
    <hyperlink ref="D49" r:id="rId9" location="other-spending-as-a-percentage-of-total-expenditure"/>
    <hyperlink ref="D53" r:id="rId10" location="in-year-balance-as-a-percentage-of-total-income"/>
    <hyperlink ref="D54" r:id="rId11" location="revenue-reserve-as-a-percentage-of-total-income"/>
    <hyperlink ref="D58" r:id="rId12" location="average-teacher-cost"/>
    <hyperlink ref="D59" r:id="rId13" location="senior-leaders-as-a-percentage-of-workforce"/>
    <hyperlink ref="D60" r:id="rId14" location="pupil-to-teacher-ratio"/>
    <hyperlink ref="D61" r:id="rId15" location="pupil-to-adult-ratio"/>
    <hyperlink ref="D62" r:id="rId16" location="teacher-contact-ratio"/>
    <hyperlink ref="D63" r:id="rId17" location="predicted-percentage-pupil-number-change-in-3-to-5-years"/>
    <hyperlink ref="D64" r:id="rId18" location="average-class-size" display="https://www.gov.uk/government/publications/school-resource-management-self-assessment-tool/dashboard-support-notes - average-class-size"/>
    <hyperlink ref="D68" r:id="rId19" location="ofsted-rating"/>
    <hyperlink ref="D69" r:id="rId20" location="progress-8-score" display="https://www.gov.uk/government/publications/school-resource-management-self-assessment-tool/dashboard-support-notes - progress-8-score"/>
    <hyperlink ref="D70" r:id="rId21" location="progress-scores-in-reading-writing-and-maths" display="https://www.gov.uk/government/publications/school-resource-management-self-assessment-tool/dashboard-support-notes - progress-scores-in-reading-writing-and-maths"/>
    <hyperlink ref="D71" r:id="rId22" location="progress-scores-in-reading-writing-and-maths" display="https://www.gov.uk/government/publications/school-resource-management-self-assessment-tool/dashboard-support-notes - progress-scores-in-reading-writing-and-maths"/>
    <hyperlink ref="D72" r:id="rId23" location="progress-scores-in-reading-writing-and-maths" display="https://www.gov.uk/government/publications/school-resource-management-self-assessment-tool/dashboard-support-notes - progress-scores-in-reading-writing-and-maths"/>
    <hyperlink ref="C29:D32" r:id="rId24" location="using-the-results-from-the-dashboard" display="https://www.gov.uk/government/publications/school-resource-management-self-assessment-tool/dashboard-support-notes - using-the-results-from-the-dashboard"/>
    <hyperlink ref="C24:D26" r:id="rId25" display="Guidance on calculating or collecting the data for the school so that metrics are compared to thresholds consistently can be found here. Clicking on the link next to individual indicators below will also take you to the relevant section of the guidance."/>
  </hyperlinks>
  <pageMargins left="0.70866141732283472" right="0.70866141732283472" top="0.74803149606299213" bottom="0.74803149606299213" header="0.31496062992125984" footer="0.31496062992125984"/>
  <pageSetup paperSize="9" scale="47" fitToHeight="0" orientation="landscape" cellComments="asDisplayed" r:id="rId26"/>
  <customProperties>
    <customPr name="_pios_id" r:id="rId27"/>
  </customProperties>
  <cellWatches>
    <cellWatch r="F21"/>
    <cellWatch r="F20"/>
  </cellWatches>
  <drawing r:id="rId2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Q42"/>
  <sheetViews>
    <sheetView workbookViewId="0">
      <selection activeCell="B1" sqref="B1"/>
    </sheetView>
  </sheetViews>
  <sheetFormatPr defaultColWidth="8.85546875" defaultRowHeight="15" x14ac:dyDescent="0.25"/>
  <cols>
    <col min="1" max="1" width="58" style="151" bestFit="1" customWidth="1"/>
    <col min="2" max="16384" width="8.85546875" style="151"/>
  </cols>
  <sheetData>
    <row r="1" spans="1:17" x14ac:dyDescent="0.25">
      <c r="A1" s="179" t="s">
        <v>355</v>
      </c>
      <c r="B1" s="151" t="s">
        <v>437</v>
      </c>
      <c r="C1" s="151" t="s">
        <v>385</v>
      </c>
      <c r="E1" s="151" t="s">
        <v>371</v>
      </c>
      <c r="F1" s="151" t="s">
        <v>372</v>
      </c>
      <c r="G1" s="151" t="s">
        <v>373</v>
      </c>
      <c r="H1" s="151" t="s">
        <v>374</v>
      </c>
      <c r="I1" s="151" t="s">
        <v>375</v>
      </c>
      <c r="J1" s="151" t="s">
        <v>376</v>
      </c>
      <c r="K1" s="151" t="s">
        <v>377</v>
      </c>
      <c r="L1" s="151" t="s">
        <v>378</v>
      </c>
      <c r="M1" s="151" t="s">
        <v>379</v>
      </c>
      <c r="N1" s="151" t="s">
        <v>380</v>
      </c>
      <c r="O1" s="151" t="s">
        <v>381</v>
      </c>
      <c r="P1" s="151" t="s">
        <v>382</v>
      </c>
      <c r="Q1" s="151" t="s">
        <v>383</v>
      </c>
    </row>
    <row r="2" spans="1:17" x14ac:dyDescent="0.25">
      <c r="A2" s="180" t="s">
        <v>142</v>
      </c>
    </row>
    <row r="3" spans="1:17" x14ac:dyDescent="0.25">
      <c r="A3" s="180" t="s">
        <v>84</v>
      </c>
    </row>
    <row r="4" spans="1:17" x14ac:dyDescent="0.25">
      <c r="A4" s="180" t="s">
        <v>85</v>
      </c>
    </row>
    <row r="5" spans="1:17" x14ac:dyDescent="0.25">
      <c r="A5" s="180" t="s">
        <v>46</v>
      </c>
    </row>
    <row r="6" spans="1:17" x14ac:dyDescent="0.25">
      <c r="A6" s="180" t="s">
        <v>83</v>
      </c>
    </row>
    <row r="7" spans="1:17" x14ac:dyDescent="0.25">
      <c r="A7" s="180" t="s">
        <v>86</v>
      </c>
    </row>
    <row r="8" spans="1:17" x14ac:dyDescent="0.25">
      <c r="A8" s="180" t="s">
        <v>144</v>
      </c>
    </row>
    <row r="9" spans="1:17" x14ac:dyDescent="0.25">
      <c r="A9" s="180" t="s">
        <v>148</v>
      </c>
    </row>
    <row r="10" spans="1:17" x14ac:dyDescent="0.25">
      <c r="A10" s="180" t="s">
        <v>145</v>
      </c>
    </row>
    <row r="11" spans="1:17" x14ac:dyDescent="0.25">
      <c r="A11" s="177" t="s">
        <v>2</v>
      </c>
    </row>
    <row r="12" spans="1:17" x14ac:dyDescent="0.25">
      <c r="A12" s="177" t="s">
        <v>48</v>
      </c>
    </row>
    <row r="13" spans="1:17" x14ac:dyDescent="0.25">
      <c r="A13" s="177" t="s">
        <v>3</v>
      </c>
    </row>
    <row r="14" spans="1:17" x14ac:dyDescent="0.25">
      <c r="A14" s="177" t="s">
        <v>5</v>
      </c>
    </row>
    <row r="15" spans="1:17" x14ac:dyDescent="0.25">
      <c r="A15" s="177" t="s">
        <v>49</v>
      </c>
    </row>
    <row r="16" spans="1:17" x14ac:dyDescent="0.25">
      <c r="A16" s="177" t="s">
        <v>50</v>
      </c>
    </row>
    <row r="17" spans="1:1" x14ac:dyDescent="0.25">
      <c r="A17" s="177" t="s">
        <v>51</v>
      </c>
    </row>
    <row r="18" spans="1:1" x14ac:dyDescent="0.25">
      <c r="A18" s="177" t="s">
        <v>52</v>
      </c>
    </row>
    <row r="19" spans="1:1" x14ac:dyDescent="0.25">
      <c r="A19" s="177" t="s">
        <v>53</v>
      </c>
    </row>
    <row r="20" spans="1:1" x14ac:dyDescent="0.25">
      <c r="A20" s="177" t="s">
        <v>55</v>
      </c>
    </row>
    <row r="21" spans="1:1" x14ac:dyDescent="0.25">
      <c r="A21" s="177" t="s">
        <v>57</v>
      </c>
    </row>
    <row r="22" spans="1:1" x14ac:dyDescent="0.25">
      <c r="A22" s="177" t="s">
        <v>170</v>
      </c>
    </row>
    <row r="23" spans="1:1" x14ac:dyDescent="0.25">
      <c r="A23" s="177" t="s">
        <v>60</v>
      </c>
    </row>
    <row r="24" spans="1:1" x14ac:dyDescent="0.25">
      <c r="A24" s="177" t="s">
        <v>62</v>
      </c>
    </row>
    <row r="25" spans="1:1" x14ac:dyDescent="0.25">
      <c r="A25" s="177" t="s">
        <v>1</v>
      </c>
    </row>
    <row r="26" spans="1:1" x14ac:dyDescent="0.25">
      <c r="A26" s="177" t="s">
        <v>171</v>
      </c>
    </row>
    <row r="27" spans="1:1" x14ac:dyDescent="0.25">
      <c r="A27" s="177" t="s">
        <v>172</v>
      </c>
    </row>
    <row r="28" spans="1:1" x14ac:dyDescent="0.25">
      <c r="A28" s="177" t="s">
        <v>66</v>
      </c>
    </row>
    <row r="29" spans="1:1" x14ac:dyDescent="0.25">
      <c r="A29" s="177" t="s">
        <v>73</v>
      </c>
    </row>
    <row r="30" spans="1:1" x14ac:dyDescent="0.25">
      <c r="A30" s="177" t="s">
        <v>184</v>
      </c>
    </row>
    <row r="31" spans="1:1" x14ac:dyDescent="0.25">
      <c r="A31" s="177" t="s">
        <v>185</v>
      </c>
    </row>
    <row r="32" spans="1:1" x14ac:dyDescent="0.25">
      <c r="A32" s="177" t="s">
        <v>47</v>
      </c>
    </row>
    <row r="33" spans="1:1" x14ac:dyDescent="0.25">
      <c r="A33" s="177" t="s">
        <v>173</v>
      </c>
    </row>
    <row r="34" spans="1:1" x14ac:dyDescent="0.25">
      <c r="A34" s="177" t="s">
        <v>77</v>
      </c>
    </row>
    <row r="35" spans="1:1" x14ac:dyDescent="0.25">
      <c r="A35" s="177" t="s">
        <v>75</v>
      </c>
    </row>
    <row r="36" spans="1:1" x14ac:dyDescent="0.25">
      <c r="A36" s="177" t="s">
        <v>174</v>
      </c>
    </row>
    <row r="37" spans="1:1" x14ac:dyDescent="0.25">
      <c r="A37" s="177" t="s">
        <v>71</v>
      </c>
    </row>
    <row r="38" spans="1:1" x14ac:dyDescent="0.25">
      <c r="A38" s="177" t="s">
        <v>175</v>
      </c>
    </row>
    <row r="39" spans="1:1" x14ac:dyDescent="0.25">
      <c r="A39" s="177" t="s">
        <v>176</v>
      </c>
    </row>
    <row r="40" spans="1:1" x14ac:dyDescent="0.25">
      <c r="A40" s="177" t="s">
        <v>178</v>
      </c>
    </row>
    <row r="41" spans="1:1" x14ac:dyDescent="0.25">
      <c r="A41" s="177" t="s">
        <v>180</v>
      </c>
    </row>
    <row r="42" spans="1:1" x14ac:dyDescent="0.25">
      <c r="A42" s="178" t="s">
        <v>182</v>
      </c>
    </row>
  </sheetData>
  <pageMargins left="0.7" right="0.7" top="0.75" bottom="0.75" header="0.3" footer="0.3"/>
  <customProperties>
    <customPr name="_pios_id" r:id="rId1"/>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7"/>
  <sheetViews>
    <sheetView workbookViewId="0">
      <selection activeCell="F14" sqref="F14"/>
    </sheetView>
  </sheetViews>
  <sheetFormatPr defaultColWidth="8.85546875" defaultRowHeight="15" x14ac:dyDescent="0.25"/>
  <cols>
    <col min="1" max="2" width="8.85546875" style="151"/>
    <col min="3" max="3" width="16.5703125" style="151" bestFit="1" customWidth="1"/>
    <col min="4" max="4" width="13.42578125" style="151" customWidth="1"/>
    <col min="5" max="5" width="8.85546875" style="151"/>
    <col min="6" max="6" width="16.5703125" style="151" bestFit="1" customWidth="1"/>
    <col min="7" max="8" width="8.85546875" style="151"/>
    <col min="9" max="9" width="13.5703125" style="151" bestFit="1" customWidth="1"/>
    <col min="10" max="16384" width="8.85546875" style="151"/>
  </cols>
  <sheetData>
    <row r="1" spans="1:10" x14ac:dyDescent="0.25">
      <c r="A1" s="133"/>
    </row>
    <row r="2" spans="1:10" x14ac:dyDescent="0.25">
      <c r="A2" s="133"/>
    </row>
    <row r="3" spans="1:10" ht="20.25" x14ac:dyDescent="0.25">
      <c r="A3" s="133"/>
      <c r="C3" s="340" t="s">
        <v>316</v>
      </c>
      <c r="D3" s="340"/>
      <c r="F3" s="340" t="s">
        <v>320</v>
      </c>
      <c r="G3" s="340"/>
      <c r="I3" s="340" t="s">
        <v>330</v>
      </c>
      <c r="J3" s="340"/>
    </row>
    <row r="4" spans="1:10" x14ac:dyDescent="0.25">
      <c r="A4" s="133"/>
      <c r="C4" s="130"/>
      <c r="D4" s="130"/>
      <c r="F4" s="130"/>
      <c r="G4" s="130"/>
    </row>
    <row r="5" spans="1:10" x14ac:dyDescent="0.25">
      <c r="C5" s="151" t="s">
        <v>317</v>
      </c>
      <c r="D5" s="152">
        <v>1</v>
      </c>
      <c r="F5" s="151" t="s">
        <v>321</v>
      </c>
      <c r="G5" s="152">
        <v>6</v>
      </c>
      <c r="I5" s="151" t="s">
        <v>365</v>
      </c>
      <c r="J5" s="152">
        <v>0</v>
      </c>
    </row>
    <row r="6" spans="1:10" x14ac:dyDescent="0.25">
      <c r="C6" s="151" t="s">
        <v>319</v>
      </c>
      <c r="D6" s="152" t="s">
        <v>238</v>
      </c>
      <c r="F6" s="151" t="s">
        <v>322</v>
      </c>
      <c r="G6" s="152">
        <v>6</v>
      </c>
    </row>
    <row r="7" spans="1:10" x14ac:dyDescent="0.25">
      <c r="F7" s="151" t="s">
        <v>323</v>
      </c>
      <c r="G7" s="152">
        <v>8</v>
      </c>
    </row>
  </sheetData>
  <mergeCells count="3">
    <mergeCell ref="C3:D3"/>
    <mergeCell ref="F3:G3"/>
    <mergeCell ref="I3:J3"/>
  </mergeCells>
  <pageMargins left="0.7" right="0.7" top="0.75" bottom="0.75" header="0.3" footer="0.3"/>
  <pageSetup paperSize="9" orientation="portrait" r:id="rId1"/>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0" tint="-0.14999847407452621"/>
    <pageSetUpPr fitToPage="1"/>
  </sheetPr>
  <dimension ref="A1:IU88"/>
  <sheetViews>
    <sheetView showGridLines="0" topLeftCell="A4" zoomScale="85" zoomScaleNormal="85" workbookViewId="0">
      <pane xSplit="4" topLeftCell="E1" activePane="topRight" state="frozen"/>
      <selection pane="topRight" activeCell="F29" sqref="F29"/>
    </sheetView>
  </sheetViews>
  <sheetFormatPr defaultColWidth="0" defaultRowHeight="15" zeroHeight="1" x14ac:dyDescent="0.2"/>
  <cols>
    <col min="1" max="1" width="8" style="17" customWidth="1"/>
    <col min="2" max="2" width="4.140625" style="17" customWidth="1"/>
    <col min="3" max="3" width="5.5703125" style="17" customWidth="1"/>
    <col min="4" max="4" width="69.140625" style="17" customWidth="1"/>
    <col min="5" max="5" width="7.85546875" style="17" customWidth="1"/>
    <col min="6" max="6" width="23.28515625" style="17" customWidth="1"/>
    <col min="7" max="7" width="4.140625" style="17" customWidth="1"/>
    <col min="8" max="8" width="8" style="17" customWidth="1"/>
    <col min="9" max="9" width="8" style="17" hidden="1" customWidth="1"/>
    <col min="10" max="255" width="23.28515625" style="17" hidden="1" customWidth="1"/>
    <col min="256" max="16384" width="9" style="17" hidden="1"/>
  </cols>
  <sheetData>
    <row r="1" spans="2:10" ht="15.75" thickBot="1" x14ac:dyDescent="0.25"/>
    <row r="2" spans="2:10" x14ac:dyDescent="0.2">
      <c r="B2" s="197"/>
      <c r="C2" s="198"/>
      <c r="D2" s="198"/>
      <c r="E2" s="198"/>
      <c r="F2" s="198"/>
      <c r="G2" s="199"/>
      <c r="I2" s="198"/>
      <c r="J2" s="198"/>
    </row>
    <row r="3" spans="2:10" ht="25.15" customHeight="1" x14ac:dyDescent="0.2">
      <c r="B3" s="15"/>
      <c r="C3" s="374" t="s">
        <v>87</v>
      </c>
      <c r="D3" s="374"/>
      <c r="E3" s="183"/>
      <c r="F3" s="183"/>
      <c r="G3" s="16"/>
      <c r="I3" s="183"/>
      <c r="J3" s="183"/>
    </row>
    <row r="4" spans="2:10" s="204" customFormat="1" x14ac:dyDescent="0.2">
      <c r="B4" s="200"/>
      <c r="C4" s="201"/>
      <c r="D4" s="201"/>
      <c r="E4" s="201"/>
      <c r="F4" s="202">
        <v>1</v>
      </c>
      <c r="G4" s="203"/>
      <c r="J4" s="202">
        <v>1</v>
      </c>
    </row>
    <row r="5" spans="2:10" ht="15" customHeight="1" x14ac:dyDescent="0.2">
      <c r="B5" s="15"/>
      <c r="C5" s="375" t="s">
        <v>364</v>
      </c>
      <c r="D5" s="376"/>
      <c r="E5" s="10"/>
      <c r="F5" s="10"/>
      <c r="G5" s="16"/>
      <c r="J5" s="10"/>
    </row>
    <row r="6" spans="2:10" x14ac:dyDescent="0.2">
      <c r="B6" s="15"/>
      <c r="C6" s="364"/>
      <c r="D6" s="365"/>
      <c r="E6" s="10"/>
      <c r="F6" s="10"/>
      <c r="G6" s="16"/>
      <c r="J6" s="10"/>
    </row>
    <row r="7" spans="2:10" x14ac:dyDescent="0.2">
      <c r="B7" s="15"/>
      <c r="C7" s="364"/>
      <c r="D7" s="365"/>
      <c r="E7" s="10"/>
      <c r="F7" s="10"/>
      <c r="G7" s="16"/>
      <c r="J7" s="10"/>
    </row>
    <row r="8" spans="2:10" x14ac:dyDescent="0.2">
      <c r="B8" s="15"/>
      <c r="C8" s="364"/>
      <c r="D8" s="365"/>
      <c r="E8" s="10"/>
      <c r="F8" s="205" t="s">
        <v>6</v>
      </c>
      <c r="G8" s="16"/>
      <c r="J8" s="205" t="s">
        <v>6</v>
      </c>
    </row>
    <row r="9" spans="2:10" ht="15" customHeight="1" x14ac:dyDescent="0.2">
      <c r="B9" s="15"/>
      <c r="C9" s="364"/>
      <c r="D9" s="365"/>
      <c r="E9" s="10"/>
      <c r="F9" s="379" t="s">
        <v>437</v>
      </c>
      <c r="G9" s="16"/>
      <c r="J9" s="379"/>
    </row>
    <row r="10" spans="2:10" ht="15" customHeight="1" x14ac:dyDescent="0.2">
      <c r="B10" s="15"/>
      <c r="C10" s="364"/>
      <c r="D10" s="365"/>
      <c r="E10" s="10"/>
      <c r="F10" s="380"/>
      <c r="G10" s="16"/>
      <c r="J10" s="380"/>
    </row>
    <row r="11" spans="2:10" x14ac:dyDescent="0.2">
      <c r="B11" s="15"/>
      <c r="C11" s="364"/>
      <c r="D11" s="365"/>
      <c r="E11" s="10"/>
      <c r="F11" s="10"/>
      <c r="G11" s="16"/>
      <c r="J11" s="10"/>
    </row>
    <row r="12" spans="2:10" ht="15" customHeight="1" x14ac:dyDescent="0.25">
      <c r="B12" s="15"/>
      <c r="C12" s="364"/>
      <c r="D12" s="365"/>
      <c r="E12" s="10"/>
      <c r="F12" s="221"/>
      <c r="G12" s="16"/>
      <c r="J12" s="225"/>
    </row>
    <row r="13" spans="2:10" s="230" customFormat="1" ht="22.15" customHeight="1" x14ac:dyDescent="0.25">
      <c r="B13" s="226"/>
      <c r="C13" s="364"/>
      <c r="D13" s="365"/>
      <c r="E13" s="227"/>
      <c r="F13" s="228"/>
      <c r="G13" s="229"/>
      <c r="J13" s="231"/>
    </row>
    <row r="14" spans="2:10" ht="8.65" customHeight="1" x14ac:dyDescent="0.25">
      <c r="B14" s="15"/>
      <c r="C14" s="364"/>
      <c r="D14" s="365"/>
      <c r="E14" s="10"/>
      <c r="F14" s="221"/>
      <c r="G14" s="16"/>
      <c r="J14" s="225"/>
    </row>
    <row r="15" spans="2:10" ht="8.65" customHeight="1" x14ac:dyDescent="0.25">
      <c r="B15" s="15"/>
      <c r="C15" s="364"/>
      <c r="D15" s="365"/>
      <c r="E15" s="10"/>
      <c r="F15" s="221"/>
      <c r="G15" s="16"/>
      <c r="J15" s="225"/>
    </row>
    <row r="16" spans="2:10" ht="8.65" customHeight="1" x14ac:dyDescent="0.25">
      <c r="B16" s="15"/>
      <c r="C16" s="377"/>
      <c r="D16" s="378"/>
      <c r="E16" s="10"/>
      <c r="F16" s="221"/>
      <c r="G16" s="16"/>
      <c r="J16" s="225"/>
    </row>
    <row r="17" spans="2:10" x14ac:dyDescent="0.2">
      <c r="B17" s="15"/>
      <c r="C17" s="10"/>
      <c r="D17" s="10"/>
      <c r="E17" s="10"/>
      <c r="F17" s="10"/>
      <c r="G17" s="16"/>
      <c r="J17" s="10"/>
    </row>
    <row r="18" spans="2:10" x14ac:dyDescent="0.2">
      <c r="B18" s="15"/>
      <c r="C18" s="10"/>
      <c r="D18" s="10"/>
      <c r="E18" s="10"/>
      <c r="F18" s="10"/>
      <c r="G18" s="16"/>
      <c r="J18" s="10"/>
    </row>
    <row r="19" spans="2:10" s="21" customFormat="1" ht="17.25" customHeight="1" x14ac:dyDescent="0.25">
      <c r="B19" s="18"/>
      <c r="C19" s="384" t="s">
        <v>142</v>
      </c>
      <c r="D19" s="385"/>
      <c r="E19" s="19"/>
      <c r="F19" s="196">
        <v>70.319999999999993</v>
      </c>
      <c r="G19" s="20"/>
      <c r="J19" s="196"/>
    </row>
    <row r="20" spans="2:10" s="21" customFormat="1" ht="17.25" customHeight="1" x14ac:dyDescent="0.25">
      <c r="B20" s="18"/>
      <c r="C20" s="381" t="s">
        <v>84</v>
      </c>
      <c r="D20" s="382"/>
      <c r="E20" s="19"/>
      <c r="F20" s="196">
        <v>10</v>
      </c>
      <c r="G20" s="20"/>
      <c r="J20" s="196"/>
    </row>
    <row r="21" spans="2:10" s="21" customFormat="1" ht="17.25" customHeight="1" x14ac:dyDescent="0.25">
      <c r="B21" s="18"/>
      <c r="C21" s="381" t="s">
        <v>85</v>
      </c>
      <c r="D21" s="382"/>
      <c r="E21" s="19"/>
      <c r="F21" s="196">
        <v>115.64</v>
      </c>
      <c r="G21" s="20"/>
      <c r="J21" s="196"/>
    </row>
    <row r="22" spans="2:10" x14ac:dyDescent="0.2">
      <c r="B22" s="15"/>
      <c r="C22" s="10"/>
      <c r="D22" s="43"/>
      <c r="E22" s="10"/>
      <c r="F22" s="10"/>
      <c r="G22" s="16"/>
      <c r="J22" s="10"/>
    </row>
    <row r="23" spans="2:10" s="21" customFormat="1" ht="17.25" customHeight="1" x14ac:dyDescent="0.25">
      <c r="B23" s="18"/>
      <c r="C23" s="381" t="s">
        <v>46</v>
      </c>
      <c r="D23" s="382"/>
      <c r="E23" s="19"/>
      <c r="F23" s="89">
        <v>7380000</v>
      </c>
      <c r="G23" s="20"/>
      <c r="J23" s="89"/>
    </row>
    <row r="24" spans="2:10" s="21" customFormat="1" ht="17.25" customHeight="1" x14ac:dyDescent="0.25">
      <c r="B24" s="18"/>
      <c r="C24" s="381" t="s">
        <v>83</v>
      </c>
      <c r="D24" s="382"/>
      <c r="E24" s="19"/>
      <c r="F24" s="89">
        <v>7245000</v>
      </c>
      <c r="G24" s="20"/>
      <c r="J24" s="89"/>
    </row>
    <row r="25" spans="2:10" s="21" customFormat="1" ht="17.25" customHeight="1" x14ac:dyDescent="0.25">
      <c r="B25" s="18"/>
      <c r="C25" s="381" t="s">
        <v>86</v>
      </c>
      <c r="D25" s="382"/>
      <c r="E25" s="19"/>
      <c r="F25" s="89"/>
      <c r="G25" s="20"/>
      <c r="J25" s="89"/>
    </row>
    <row r="26" spans="2:10" s="21" customFormat="1" ht="17.25" customHeight="1" x14ac:dyDescent="0.25">
      <c r="B26" s="18"/>
      <c r="C26" s="19"/>
      <c r="D26" s="43"/>
      <c r="E26" s="19"/>
      <c r="F26" s="19"/>
      <c r="G26" s="20"/>
      <c r="J26" s="19"/>
    </row>
    <row r="27" spans="2:10" s="21" customFormat="1" ht="17.25" customHeight="1" x14ac:dyDescent="0.25">
      <c r="B27" s="18"/>
      <c r="C27" s="383" t="s">
        <v>146</v>
      </c>
      <c r="D27" s="383"/>
      <c r="E27" s="19"/>
      <c r="F27" s="19"/>
      <c r="G27" s="20"/>
      <c r="J27" s="19"/>
    </row>
    <row r="28" spans="2:10" s="21" customFormat="1" ht="17.25" customHeight="1" x14ac:dyDescent="0.25">
      <c r="B28" s="18"/>
      <c r="C28" s="381" t="s">
        <v>144</v>
      </c>
      <c r="D28" s="382"/>
      <c r="E28" s="19"/>
      <c r="F28" s="196"/>
      <c r="G28" s="20"/>
      <c r="J28" s="196"/>
    </row>
    <row r="29" spans="2:10" s="21" customFormat="1" ht="17.25" customHeight="1" x14ac:dyDescent="0.25">
      <c r="B29" s="18"/>
      <c r="C29" s="381" t="s">
        <v>148</v>
      </c>
      <c r="D29" s="382"/>
      <c r="E29" s="19"/>
      <c r="F29" s="196"/>
      <c r="G29" s="20"/>
      <c r="J29" s="196"/>
    </row>
    <row r="30" spans="2:10" s="21" customFormat="1" ht="17.25" customHeight="1" x14ac:dyDescent="0.25">
      <c r="B30" s="18"/>
      <c r="C30" s="19"/>
      <c r="D30" s="85" t="str">
        <f>IFERROR(IF((F29/(F28*F19))&lt;0.5,"Resulting teacher contact ratio is low. Total lessons taught may be incorrectly calculated as too low",IF((F29/(F28*F19))&gt;1,"Resulting teacher contact ratio is greater than 1. Total lessons taught is too high","")),"")</f>
        <v/>
      </c>
      <c r="E30" s="85"/>
      <c r="F30" s="85"/>
      <c r="G30" s="20"/>
      <c r="J30" s="85"/>
    </row>
    <row r="31" spans="2:10" s="21" customFormat="1" ht="17.25" customHeight="1" x14ac:dyDescent="0.25">
      <c r="B31" s="18"/>
      <c r="C31" s="383" t="s">
        <v>147</v>
      </c>
      <c r="D31" s="383"/>
      <c r="E31" s="19"/>
      <c r="F31" s="19"/>
      <c r="G31" s="20"/>
      <c r="J31" s="19"/>
    </row>
    <row r="32" spans="2:10" s="21" customFormat="1" ht="17.25" customHeight="1" x14ac:dyDescent="0.25">
      <c r="B32" s="18"/>
      <c r="C32" s="381" t="s">
        <v>145</v>
      </c>
      <c r="D32" s="382"/>
      <c r="E32" s="19"/>
      <c r="F32" s="196"/>
      <c r="G32" s="20"/>
      <c r="J32" s="196"/>
    </row>
    <row r="33" spans="2:10" s="21" customFormat="1" ht="17.25" customHeight="1" x14ac:dyDescent="0.25">
      <c r="B33" s="18"/>
      <c r="C33" s="206"/>
      <c r="D33" s="43"/>
      <c r="E33" s="19"/>
      <c r="F33" s="19"/>
      <c r="G33" s="20"/>
      <c r="J33" s="19"/>
    </row>
    <row r="34" spans="2:10" s="21" customFormat="1" ht="17.25" customHeight="1" x14ac:dyDescent="0.25">
      <c r="B34" s="18"/>
      <c r="C34" s="207" t="s">
        <v>161</v>
      </c>
      <c r="D34" s="208" t="s">
        <v>2</v>
      </c>
      <c r="E34" s="19"/>
      <c r="F34" s="89">
        <v>4385000</v>
      </c>
      <c r="G34" s="20"/>
      <c r="J34" s="89"/>
    </row>
    <row r="35" spans="2:10" s="21" customFormat="1" ht="17.25" customHeight="1" x14ac:dyDescent="0.25">
      <c r="B35" s="18"/>
      <c r="C35" s="207" t="s">
        <v>162</v>
      </c>
      <c r="D35" s="208" t="s">
        <v>48</v>
      </c>
      <c r="E35" s="19"/>
      <c r="F35" s="89">
        <v>0</v>
      </c>
      <c r="G35" s="20"/>
      <c r="J35" s="89"/>
    </row>
    <row r="36" spans="2:10" s="21" customFormat="1" ht="17.25" customHeight="1" x14ac:dyDescent="0.25">
      <c r="B36" s="18"/>
      <c r="C36" s="207" t="s">
        <v>163</v>
      </c>
      <c r="D36" s="208" t="s">
        <v>3</v>
      </c>
      <c r="E36" s="19"/>
      <c r="F36" s="89">
        <v>895000</v>
      </c>
      <c r="G36" s="20"/>
      <c r="J36" s="89"/>
    </row>
    <row r="37" spans="2:10" s="21" customFormat="1" ht="17.25" customHeight="1" x14ac:dyDescent="0.25">
      <c r="B37" s="18"/>
      <c r="C37" s="207" t="s">
        <v>164</v>
      </c>
      <c r="D37" s="208" t="s">
        <v>5</v>
      </c>
      <c r="E37" s="19"/>
      <c r="F37" s="89">
        <v>611000</v>
      </c>
      <c r="G37" s="20"/>
      <c r="J37" s="89"/>
    </row>
    <row r="38" spans="2:10" s="21" customFormat="1" ht="17.25" customHeight="1" x14ac:dyDescent="0.25">
      <c r="B38" s="18"/>
      <c r="C38" s="207" t="s">
        <v>165</v>
      </c>
      <c r="D38" s="208" t="s">
        <v>49</v>
      </c>
      <c r="E38" s="19"/>
      <c r="F38" s="89">
        <v>169000</v>
      </c>
      <c r="G38" s="20"/>
      <c r="J38" s="89"/>
    </row>
    <row r="39" spans="2:10" s="21" customFormat="1" ht="17.25" customHeight="1" x14ac:dyDescent="0.25">
      <c r="B39" s="18"/>
      <c r="C39" s="207" t="s">
        <v>166</v>
      </c>
      <c r="D39" s="208" t="s">
        <v>50</v>
      </c>
      <c r="E39" s="19"/>
      <c r="F39" s="89">
        <v>0</v>
      </c>
      <c r="G39" s="20"/>
      <c r="J39" s="89"/>
    </row>
    <row r="40" spans="2:10" s="21" customFormat="1" ht="17.25" customHeight="1" x14ac:dyDescent="0.25">
      <c r="B40" s="18"/>
      <c r="C40" s="207" t="s">
        <v>167</v>
      </c>
      <c r="D40" s="208" t="s">
        <v>51</v>
      </c>
      <c r="E40" s="19"/>
      <c r="F40" s="89">
        <v>4000</v>
      </c>
      <c r="G40" s="20"/>
      <c r="J40" s="89"/>
    </row>
    <row r="41" spans="2:10" s="21" customFormat="1" ht="17.25" customHeight="1" x14ac:dyDescent="0.25">
      <c r="B41" s="18"/>
      <c r="C41" s="207" t="s">
        <v>168</v>
      </c>
      <c r="D41" s="208" t="s">
        <v>52</v>
      </c>
      <c r="E41" s="19"/>
      <c r="F41" s="89">
        <v>0</v>
      </c>
      <c r="G41" s="20"/>
      <c r="J41" s="89"/>
    </row>
    <row r="42" spans="2:10" s="21" customFormat="1" ht="17.25" customHeight="1" x14ac:dyDescent="0.25">
      <c r="B42" s="18"/>
      <c r="C42" s="207" t="s">
        <v>169</v>
      </c>
      <c r="D42" s="208" t="s">
        <v>53</v>
      </c>
      <c r="E42" s="19"/>
      <c r="F42" s="89">
        <v>20000</v>
      </c>
      <c r="G42" s="20"/>
      <c r="J42" s="89"/>
    </row>
    <row r="43" spans="2:10" s="21" customFormat="1" ht="17.25" customHeight="1" x14ac:dyDescent="0.25">
      <c r="B43" s="18"/>
      <c r="C43" s="207" t="s">
        <v>54</v>
      </c>
      <c r="D43" s="208" t="s">
        <v>55</v>
      </c>
      <c r="E43" s="19"/>
      <c r="F43" s="89">
        <v>0</v>
      </c>
      <c r="G43" s="20"/>
      <c r="J43" s="89"/>
    </row>
    <row r="44" spans="2:10" s="21" customFormat="1" ht="17.25" customHeight="1" x14ac:dyDescent="0.25">
      <c r="B44" s="18"/>
      <c r="C44" s="207" t="s">
        <v>56</v>
      </c>
      <c r="D44" s="208" t="s">
        <v>57</v>
      </c>
      <c r="E44" s="19"/>
      <c r="F44" s="89">
        <v>0</v>
      </c>
      <c r="G44" s="20"/>
      <c r="J44" s="89"/>
    </row>
    <row r="45" spans="2:10" s="21" customFormat="1" ht="17.25" customHeight="1" x14ac:dyDescent="0.25">
      <c r="B45" s="18"/>
      <c r="C45" s="207" t="s">
        <v>58</v>
      </c>
      <c r="D45" s="208" t="s">
        <v>170</v>
      </c>
      <c r="E45" s="19"/>
      <c r="F45" s="89">
        <v>81000</v>
      </c>
      <c r="G45" s="20"/>
      <c r="J45" s="89"/>
    </row>
    <row r="46" spans="2:10" s="21" customFormat="1" ht="17.25" customHeight="1" x14ac:dyDescent="0.25">
      <c r="B46" s="18"/>
      <c r="C46" s="207" t="s">
        <v>59</v>
      </c>
      <c r="D46" s="208" t="s">
        <v>60</v>
      </c>
      <c r="E46" s="19"/>
      <c r="F46" s="89">
        <v>177000</v>
      </c>
      <c r="G46" s="20"/>
      <c r="J46" s="89"/>
    </row>
    <row r="47" spans="2:10" s="21" customFormat="1" ht="17.25" customHeight="1" x14ac:dyDescent="0.25">
      <c r="B47" s="18"/>
      <c r="C47" s="207" t="s">
        <v>61</v>
      </c>
      <c r="D47" s="208" t="s">
        <v>62</v>
      </c>
      <c r="E47" s="19"/>
      <c r="F47" s="89">
        <v>26000</v>
      </c>
      <c r="G47" s="20"/>
      <c r="J47" s="89"/>
    </row>
    <row r="48" spans="2:10" s="21" customFormat="1" ht="17.25" customHeight="1" x14ac:dyDescent="0.25">
      <c r="B48" s="18"/>
      <c r="C48" s="207" t="s">
        <v>63</v>
      </c>
      <c r="D48" s="208" t="s">
        <v>1</v>
      </c>
      <c r="E48" s="19"/>
      <c r="F48" s="89">
        <v>168000</v>
      </c>
      <c r="G48" s="20"/>
      <c r="J48" s="89"/>
    </row>
    <row r="49" spans="2:10" s="21" customFormat="1" ht="17.25" customHeight="1" x14ac:dyDescent="0.25">
      <c r="B49" s="18"/>
      <c r="C49" s="207" t="s">
        <v>64</v>
      </c>
      <c r="D49" s="208" t="s">
        <v>171</v>
      </c>
      <c r="E49" s="19"/>
      <c r="F49" s="89">
        <v>34000</v>
      </c>
      <c r="G49" s="20"/>
      <c r="J49" s="89"/>
    </row>
    <row r="50" spans="2:10" s="21" customFormat="1" ht="17.25" customHeight="1" x14ac:dyDescent="0.25">
      <c r="B50" s="18"/>
      <c r="C50" s="207" t="s">
        <v>65</v>
      </c>
      <c r="D50" s="209" t="s">
        <v>172</v>
      </c>
      <c r="E50" s="19"/>
      <c r="F50" s="89">
        <v>35000</v>
      </c>
      <c r="G50" s="20"/>
      <c r="J50" s="89"/>
    </row>
    <row r="51" spans="2:10" s="21" customFormat="1" ht="17.25" customHeight="1" x14ac:dyDescent="0.25">
      <c r="B51" s="18"/>
      <c r="C51" s="207" t="s">
        <v>67</v>
      </c>
      <c r="D51" s="208" t="s">
        <v>66</v>
      </c>
      <c r="E51" s="19"/>
      <c r="F51" s="89">
        <v>3000</v>
      </c>
      <c r="G51" s="20"/>
      <c r="J51" s="89"/>
    </row>
    <row r="52" spans="2:10" s="21" customFormat="1" ht="17.25" customHeight="1" x14ac:dyDescent="0.25">
      <c r="B52" s="18"/>
      <c r="C52" s="207" t="s">
        <v>68</v>
      </c>
      <c r="D52" s="208" t="s">
        <v>73</v>
      </c>
      <c r="E52" s="19"/>
      <c r="F52" s="89">
        <v>0</v>
      </c>
      <c r="G52" s="20"/>
      <c r="J52" s="89"/>
    </row>
    <row r="53" spans="2:10" s="21" customFormat="1" ht="17.25" customHeight="1" x14ac:dyDescent="0.25">
      <c r="B53" s="18"/>
      <c r="C53" s="207" t="s">
        <v>69</v>
      </c>
      <c r="D53" s="208" t="s">
        <v>184</v>
      </c>
      <c r="E53" s="19"/>
      <c r="F53" s="89">
        <v>222000</v>
      </c>
      <c r="G53" s="20"/>
      <c r="J53" s="89"/>
    </row>
    <row r="54" spans="2:10" s="21" customFormat="1" ht="17.25" customHeight="1" x14ac:dyDescent="0.25">
      <c r="B54" s="18"/>
      <c r="C54" s="207" t="s">
        <v>70</v>
      </c>
      <c r="D54" s="208" t="s">
        <v>185</v>
      </c>
      <c r="E54" s="19"/>
      <c r="F54" s="89">
        <v>21000</v>
      </c>
      <c r="G54" s="20"/>
      <c r="J54" s="89"/>
    </row>
    <row r="55" spans="2:10" s="21" customFormat="1" ht="17.25" customHeight="1" x14ac:dyDescent="0.25">
      <c r="B55" s="18"/>
      <c r="C55" s="207" t="s">
        <v>72</v>
      </c>
      <c r="D55" s="208" t="s">
        <v>47</v>
      </c>
      <c r="E55" s="19"/>
      <c r="F55" s="89">
        <v>104000</v>
      </c>
      <c r="G55" s="20"/>
      <c r="J55" s="89"/>
    </row>
    <row r="56" spans="2:10" s="21" customFormat="1" ht="17.25" customHeight="1" x14ac:dyDescent="0.25">
      <c r="B56" s="18"/>
      <c r="C56" s="207" t="s">
        <v>74</v>
      </c>
      <c r="D56" s="208" t="s">
        <v>173</v>
      </c>
      <c r="E56" s="19"/>
      <c r="F56" s="89">
        <v>46000</v>
      </c>
      <c r="G56" s="20"/>
      <c r="J56" s="89"/>
    </row>
    <row r="57" spans="2:10" s="21" customFormat="1" ht="17.25" customHeight="1" x14ac:dyDescent="0.25">
      <c r="B57" s="18"/>
      <c r="C57" s="207" t="s">
        <v>76</v>
      </c>
      <c r="D57" s="208" t="s">
        <v>77</v>
      </c>
      <c r="E57" s="19"/>
      <c r="F57" s="89">
        <v>35000</v>
      </c>
      <c r="G57" s="20"/>
      <c r="J57" s="89"/>
    </row>
    <row r="58" spans="2:10" s="21" customFormat="1" ht="17.25" customHeight="1" x14ac:dyDescent="0.25">
      <c r="B58" s="18"/>
      <c r="C58" s="207" t="s">
        <v>78</v>
      </c>
      <c r="D58" s="208" t="s">
        <v>75</v>
      </c>
      <c r="E58" s="19"/>
      <c r="F58" s="89">
        <v>44000</v>
      </c>
      <c r="G58" s="20"/>
      <c r="J58" s="89"/>
    </row>
    <row r="59" spans="2:10" s="21" customFormat="1" ht="17.25" customHeight="1" x14ac:dyDescent="0.25">
      <c r="B59" s="18"/>
      <c r="C59" s="207" t="s">
        <v>79</v>
      </c>
      <c r="D59" s="209" t="s">
        <v>174</v>
      </c>
      <c r="E59" s="19"/>
      <c r="F59" s="89">
        <v>10000</v>
      </c>
      <c r="G59" s="20"/>
      <c r="J59" s="89"/>
    </row>
    <row r="60" spans="2:10" s="21" customFormat="1" ht="17.25" customHeight="1" x14ac:dyDescent="0.25">
      <c r="B60" s="18"/>
      <c r="C60" s="207" t="s">
        <v>80</v>
      </c>
      <c r="D60" s="208" t="s">
        <v>71</v>
      </c>
      <c r="E60" s="19"/>
      <c r="F60" s="89">
        <v>33000</v>
      </c>
      <c r="G60" s="20"/>
      <c r="J60" s="89"/>
    </row>
    <row r="61" spans="2:10" s="21" customFormat="1" ht="17.25" customHeight="1" x14ac:dyDescent="0.25">
      <c r="B61" s="18"/>
      <c r="C61" s="207" t="s">
        <v>81</v>
      </c>
      <c r="D61" s="208" t="s">
        <v>175</v>
      </c>
      <c r="E61" s="19"/>
      <c r="F61" s="89">
        <v>126000</v>
      </c>
      <c r="G61" s="20"/>
      <c r="J61" s="89"/>
    </row>
    <row r="62" spans="2:10" s="21" customFormat="1" ht="17.25" customHeight="1" x14ac:dyDescent="0.25">
      <c r="B62" s="18"/>
      <c r="C62" s="207" t="s">
        <v>82</v>
      </c>
      <c r="D62" s="208" t="s">
        <v>176</v>
      </c>
      <c r="E62" s="19"/>
      <c r="F62" s="89">
        <v>35000</v>
      </c>
      <c r="G62" s="20"/>
      <c r="J62" s="89"/>
    </row>
    <row r="63" spans="2:10" s="21" customFormat="1" ht="17.25" customHeight="1" x14ac:dyDescent="0.25">
      <c r="B63" s="18"/>
      <c r="C63" s="207" t="s">
        <v>177</v>
      </c>
      <c r="D63" s="208" t="s">
        <v>178</v>
      </c>
      <c r="E63" s="19"/>
      <c r="F63" s="89">
        <v>96000</v>
      </c>
      <c r="G63" s="20"/>
      <c r="J63" s="89"/>
    </row>
    <row r="64" spans="2:10" s="21" customFormat="1" ht="17.25" customHeight="1" x14ac:dyDescent="0.25">
      <c r="B64" s="18"/>
      <c r="C64" s="207" t="s">
        <v>179</v>
      </c>
      <c r="D64" s="208" t="s">
        <v>180</v>
      </c>
      <c r="E64" s="19"/>
      <c r="F64" s="89">
        <v>0</v>
      </c>
      <c r="G64" s="20"/>
      <c r="J64" s="89"/>
    </row>
    <row r="65" spans="2:10" s="21" customFormat="1" ht="17.25" customHeight="1" x14ac:dyDescent="0.25">
      <c r="B65" s="18"/>
      <c r="C65" s="207" t="s">
        <v>181</v>
      </c>
      <c r="D65" s="209" t="s">
        <v>182</v>
      </c>
      <c r="E65" s="19"/>
      <c r="F65" s="89">
        <v>0</v>
      </c>
      <c r="G65" s="20"/>
      <c r="J65" s="89"/>
    </row>
    <row r="66" spans="2:10" ht="15.75" thickBot="1" x14ac:dyDescent="0.25">
      <c r="B66" s="210"/>
      <c r="C66" s="28"/>
      <c r="D66" s="28"/>
      <c r="E66" s="28"/>
      <c r="F66" s="28"/>
      <c r="G66" s="32"/>
      <c r="I66" s="28"/>
      <c r="J66" s="28"/>
    </row>
    <row r="67" spans="2:10" x14ac:dyDescent="0.2"/>
    <row r="68" spans="2:10" x14ac:dyDescent="0.2"/>
    <row r="85" spans="6:10" x14ac:dyDescent="0.2"/>
    <row r="86" spans="6:10" x14ac:dyDescent="0.2"/>
    <row r="87" spans="6:10" s="217" customFormat="1" hidden="1" x14ac:dyDescent="0.2">
      <c r="F87" s="217" t="s">
        <v>238</v>
      </c>
      <c r="J87" s="217" t="s">
        <v>238</v>
      </c>
    </row>
    <row r="88" spans="6:10" s="217" customFormat="1" hidden="1" x14ac:dyDescent="0.2">
      <c r="F88" s="217" t="s">
        <v>238</v>
      </c>
      <c r="J88" s="217" t="s">
        <v>238</v>
      </c>
    </row>
  </sheetData>
  <sheetProtection password="9676" sheet="1" objects="1" scenarios="1"/>
  <mergeCells count="15">
    <mergeCell ref="C3:D3"/>
    <mergeCell ref="C5:D16"/>
    <mergeCell ref="J9:J10"/>
    <mergeCell ref="C32:D32"/>
    <mergeCell ref="C29:D29"/>
    <mergeCell ref="C28:D28"/>
    <mergeCell ref="C25:D25"/>
    <mergeCell ref="C24:D24"/>
    <mergeCell ref="C31:D31"/>
    <mergeCell ref="C27:D27"/>
    <mergeCell ref="C23:D23"/>
    <mergeCell ref="C21:D21"/>
    <mergeCell ref="C19:D19"/>
    <mergeCell ref="C20:D20"/>
    <mergeCell ref="F9:F10"/>
  </mergeCells>
  <dataValidations count="3">
    <dataValidation allowBlank="1" showInputMessage="1" showErrorMessage="1" prompt="= sum of all the lessons being taught across the timetable by each teacher" sqref="C29"/>
    <dataValidation allowBlank="1" showInputMessage="1" showErrorMessage="1" prompt="= total periods in day multiplied by days in timetable cycle" sqref="C28"/>
    <dataValidation type="custom" allowBlank="1" showInputMessage="1" showErrorMessage="1" errorTitle="Data validation" error="Data entry is restricted to numeric values" sqref="F19:F21 F23:F25 F28:F29 F32 J34:J65 J19:J21 J23:J25 J28:J29 J32 F34:F65">
      <formula1>ISNUMBER(F19)</formula1>
    </dataValidation>
  </dataValidations>
  <pageMargins left="0.7" right="0.7" top="0.75" bottom="0.75" header="0.3" footer="0.3"/>
  <pageSetup paperSize="9" scale="43" fitToWidth="0" orientation="landscape" r:id="rId1"/>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0" tint="-0.14999847407452621"/>
    <pageSetUpPr fitToPage="1"/>
  </sheetPr>
  <dimension ref="A1:U104"/>
  <sheetViews>
    <sheetView showGridLines="0" topLeftCell="A55" zoomScale="85" zoomScaleNormal="85" workbookViewId="0"/>
  </sheetViews>
  <sheetFormatPr defaultColWidth="0" defaultRowHeight="15" zeroHeight="1" x14ac:dyDescent="0.2"/>
  <cols>
    <col min="1" max="1" width="9" style="17" customWidth="1"/>
    <col min="2" max="2" width="79.85546875" style="17" customWidth="1"/>
    <col min="3" max="3" width="3" style="17" customWidth="1"/>
    <col min="4" max="4" width="24.5703125" style="17" customWidth="1"/>
    <col min="5" max="5" width="19.5703125" style="17" customWidth="1"/>
    <col min="6" max="6" width="2" style="17" customWidth="1"/>
    <col min="7" max="7" width="12.5703125" style="17" customWidth="1"/>
    <col min="8" max="8" width="14.5703125" style="17" customWidth="1"/>
    <col min="9" max="9" width="4.28515625" style="17" bestFit="1" customWidth="1"/>
    <col min="10" max="10" width="18.5703125" style="17" customWidth="1"/>
    <col min="11" max="11" width="2" style="17" customWidth="1"/>
    <col min="12" max="12" width="23.28515625" style="17" bestFit="1" customWidth="1"/>
    <col min="13" max="13" width="13.85546875" style="17" customWidth="1"/>
    <col min="14" max="14" width="4.28515625" style="17" bestFit="1" customWidth="1"/>
    <col min="15" max="15" width="14.28515625" style="17" customWidth="1"/>
    <col min="16" max="16" width="2" style="17" customWidth="1"/>
    <col min="17" max="17" width="11.140625" style="17" customWidth="1"/>
    <col min="18" max="18" width="13.85546875" style="17" customWidth="1"/>
    <col min="19" max="19" width="4.28515625" style="17" bestFit="1" customWidth="1"/>
    <col min="20" max="20" width="14.140625" style="17" customWidth="1"/>
    <col min="21" max="21" width="9" style="17" customWidth="1"/>
    <col min="22" max="16384" width="18.85546875" style="17" hidden="1"/>
  </cols>
  <sheetData>
    <row r="1" spans="2:20" ht="15.75" thickBot="1" x14ac:dyDescent="0.25"/>
    <row r="2" spans="2:20" s="212" customFormat="1" ht="22.5" customHeight="1" thickBot="1" x14ac:dyDescent="0.3">
      <c r="B2" s="211" t="s">
        <v>245</v>
      </c>
      <c r="H2" s="287" t="s">
        <v>384</v>
      </c>
      <c r="I2" s="288"/>
      <c r="J2" s="288"/>
      <c r="K2" s="288"/>
      <c r="L2" s="288"/>
      <c r="M2" s="288"/>
      <c r="N2" s="288"/>
      <c r="O2" s="288"/>
      <c r="P2" s="288"/>
      <c r="Q2" s="288"/>
      <c r="R2" s="288"/>
      <c r="S2" s="288"/>
      <c r="T2" s="289"/>
    </row>
    <row r="3" spans="2:20" s="212" customFormat="1" ht="22.5" customHeight="1" thickBot="1" x14ac:dyDescent="0.3">
      <c r="B3" s="215"/>
      <c r="H3" s="338"/>
      <c r="I3" s="399"/>
      <c r="J3" s="399"/>
      <c r="K3" s="399"/>
      <c r="L3" s="399"/>
      <c r="M3" s="399"/>
      <c r="N3" s="399"/>
      <c r="O3" s="399"/>
      <c r="P3" s="399"/>
      <c r="Q3" s="399"/>
      <c r="R3" s="399"/>
      <c r="S3" s="399"/>
      <c r="T3" s="339"/>
    </row>
    <row r="4" spans="2:20" x14ac:dyDescent="0.2">
      <c r="H4" s="338"/>
      <c r="I4" s="399"/>
      <c r="J4" s="399"/>
      <c r="K4" s="399"/>
      <c r="L4" s="399"/>
      <c r="M4" s="399"/>
      <c r="N4" s="399"/>
      <c r="O4" s="399"/>
      <c r="P4" s="399"/>
      <c r="Q4" s="399"/>
      <c r="R4" s="399"/>
      <c r="S4" s="399"/>
      <c r="T4" s="339"/>
    </row>
    <row r="5" spans="2:20" x14ac:dyDescent="0.2">
      <c r="H5" s="338"/>
      <c r="I5" s="399"/>
      <c r="J5" s="399"/>
      <c r="K5" s="399"/>
      <c r="L5" s="399"/>
      <c r="M5" s="399"/>
      <c r="N5" s="399"/>
      <c r="O5" s="399"/>
      <c r="P5" s="399"/>
      <c r="Q5" s="399"/>
      <c r="R5" s="399"/>
      <c r="S5" s="399"/>
      <c r="T5" s="339"/>
    </row>
    <row r="6" spans="2:20" x14ac:dyDescent="0.2">
      <c r="B6" s="17" t="s">
        <v>111</v>
      </c>
      <c r="G6" s="213"/>
      <c r="H6" s="338"/>
      <c r="I6" s="399"/>
      <c r="J6" s="399"/>
      <c r="K6" s="399"/>
      <c r="L6" s="399"/>
      <c r="M6" s="399"/>
      <c r="N6" s="399"/>
      <c r="O6" s="399"/>
      <c r="P6" s="399"/>
      <c r="Q6" s="399"/>
      <c r="R6" s="399"/>
      <c r="S6" s="399"/>
      <c r="T6" s="339"/>
    </row>
    <row r="7" spans="2:20" x14ac:dyDescent="0.2">
      <c r="B7" s="83" t="str">
        <f>IF(OR($B$3="",File_Statistics!$J$5=1),"","- "&amp;IF(LOWER(RAG_Calculation!C30) = "primary", "a primary school", IF(LOWER(RAG_Calculation!C30) = "secondary with sixth form","a secondary school with a sixth form", IF(LOWER(RAG_Calculation!C30)= "secondary without sixth form", "a secondary school without a sixth form",IF(LOWER(RAG_Calculation!C30)= "all-through", "an all-through school", IF(LOWER(RAG_Calculation!C30)="special","a special school", IF(LOWER(RAG_Calculation!C30) = "alternative provision","an alternative provision school", IF(LOWER(RAG_Calculation!C30)="nursery", "a nursery school","undefined school phase"))))))))</f>
        <v/>
      </c>
      <c r="H7" s="338"/>
      <c r="I7" s="399"/>
      <c r="J7" s="399"/>
      <c r="K7" s="399"/>
      <c r="L7" s="399"/>
      <c r="M7" s="399"/>
      <c r="N7" s="399"/>
      <c r="O7" s="399"/>
      <c r="P7" s="399"/>
      <c r="Q7" s="399"/>
      <c r="R7" s="399"/>
      <c r="S7" s="399"/>
      <c r="T7" s="339"/>
    </row>
    <row r="8" spans="2:20" x14ac:dyDescent="0.2">
      <c r="B8" s="261" t="str">
        <f>IF(OR($B$3="",File_Statistics!$J$5=1),"","- "&amp;RAG_Calculation!G30)</f>
        <v/>
      </c>
      <c r="H8" s="338"/>
      <c r="I8" s="399"/>
      <c r="J8" s="399"/>
      <c r="K8" s="399"/>
      <c r="L8" s="399"/>
      <c r="M8" s="399"/>
      <c r="N8" s="399"/>
      <c r="O8" s="399"/>
      <c r="P8" s="399"/>
      <c r="Q8" s="399"/>
      <c r="R8" s="399"/>
      <c r="S8" s="399"/>
      <c r="T8" s="339"/>
    </row>
    <row r="9" spans="2:20" x14ac:dyDescent="0.2">
      <c r="B9" s="83" t="str">
        <f>IF(OR($B$3="",File_Statistics!$J$5=1),"",
IF(RAG_Calculation!Q30=1,"",
"- a "&amp;RAG_Calculation!H30&amp;" school because it has "&amp;RAG_Calculation!K30))</f>
        <v/>
      </c>
      <c r="H9" s="293"/>
      <c r="I9" s="294"/>
      <c r="J9" s="294"/>
      <c r="K9" s="294"/>
      <c r="L9" s="294"/>
      <c r="M9" s="294"/>
      <c r="N9" s="294"/>
      <c r="O9" s="294"/>
      <c r="P9" s="294"/>
      <c r="Q9" s="294"/>
      <c r="R9" s="294"/>
      <c r="S9" s="294"/>
      <c r="T9" s="295"/>
    </row>
    <row r="10" spans="2:20" x14ac:dyDescent="0.2">
      <c r="B10" s="83" t="str">
        <f>IF(OR($B$3="",File_Statistics!$J$5=1),"",
IF(RAG_Calculation!Q30=1,"",
"- a school with "&amp;RAG_Calculation!I30&amp;" because "&amp;RAG_Calculation!L30&amp;" are eligible"))</f>
        <v/>
      </c>
    </row>
    <row r="11" spans="2:20" x14ac:dyDescent="0.2">
      <c r="B11" s="83"/>
    </row>
    <row r="12" spans="2:20" x14ac:dyDescent="0.2"/>
    <row r="13" spans="2:20" x14ac:dyDescent="0.2">
      <c r="B13" s="17" t="s">
        <v>118</v>
      </c>
    </row>
    <row r="14" spans="2:20" x14ac:dyDescent="0.2"/>
    <row r="15" spans="2:20" ht="15.75" x14ac:dyDescent="0.2">
      <c r="B15" s="214" t="s">
        <v>110</v>
      </c>
      <c r="C15" s="214"/>
      <c r="D15" s="185"/>
      <c r="E15" s="185"/>
      <c r="F15" s="214"/>
      <c r="G15" s="185"/>
      <c r="H15" s="185"/>
      <c r="I15" s="185"/>
      <c r="J15" s="185"/>
      <c r="K15" s="214"/>
      <c r="L15" s="185"/>
      <c r="M15" s="185"/>
      <c r="N15" s="185"/>
      <c r="O15" s="185"/>
      <c r="P15" s="214"/>
      <c r="Q15" s="185"/>
      <c r="R15" s="185"/>
      <c r="S15" s="185"/>
      <c r="T15" s="185"/>
    </row>
    <row r="16" spans="2:20" ht="5.85" customHeight="1" x14ac:dyDescent="0.2">
      <c r="D16" s="10"/>
      <c r="E16" s="10"/>
      <c r="G16" s="10"/>
      <c r="H16" s="10"/>
      <c r="I16" s="10"/>
      <c r="J16" s="10"/>
      <c r="L16" s="10"/>
      <c r="M16" s="10"/>
      <c r="N16" s="10"/>
      <c r="O16" s="10"/>
      <c r="Q16" s="10"/>
      <c r="R16" s="10"/>
      <c r="S16" s="10"/>
      <c r="T16" s="10"/>
    </row>
    <row r="17" spans="2:20" x14ac:dyDescent="0.2">
      <c r="D17" s="386" t="s">
        <v>98</v>
      </c>
      <c r="E17" s="387"/>
      <c r="G17" s="388" t="s">
        <v>100</v>
      </c>
      <c r="H17" s="389"/>
      <c r="I17" s="389"/>
      <c r="J17" s="390"/>
      <c r="L17" s="391" t="s">
        <v>105</v>
      </c>
      <c r="M17" s="392"/>
      <c r="N17" s="392"/>
      <c r="O17" s="393"/>
      <c r="Q17" s="394" t="s">
        <v>106</v>
      </c>
      <c r="R17" s="395"/>
      <c r="S17" s="395"/>
      <c r="T17" s="396"/>
    </row>
    <row r="18" spans="2:20" ht="5.85" customHeight="1" x14ac:dyDescent="0.2">
      <c r="D18" s="10"/>
      <c r="E18" s="10"/>
      <c r="G18" s="10"/>
      <c r="H18" s="10"/>
      <c r="I18" s="10"/>
      <c r="J18" s="10"/>
      <c r="L18" s="10"/>
      <c r="M18" s="10"/>
      <c r="N18" s="10"/>
      <c r="O18" s="10"/>
      <c r="Q18" s="10"/>
      <c r="R18" s="10"/>
      <c r="S18" s="10"/>
      <c r="T18" s="10"/>
    </row>
    <row r="19" spans="2:20" ht="15.75" x14ac:dyDescent="0.25">
      <c r="B19" s="397" t="s">
        <v>88</v>
      </c>
      <c r="D19" s="53" t="s">
        <v>99</v>
      </c>
      <c r="E19" s="84" t="str">
        <f>IF(OR($B$3="",File_Statistics!$J$5=1),"",RAG_Calculation!C9)</f>
        <v/>
      </c>
      <c r="G19" s="45" t="s">
        <v>101</v>
      </c>
      <c r="H19" s="68" t="str">
        <f>IF(OR($B$3="",File_Statistics!$J$5=1),"",RAG_Calculation!C9)</f>
        <v/>
      </c>
      <c r="I19" s="48" t="s">
        <v>102</v>
      </c>
      <c r="J19" s="67" t="str">
        <f>IF(OR($B$3="",File_Statistics!$J$5=1),"",RAG_Calculation!D9)</f>
        <v/>
      </c>
      <c r="L19" s="45" t="s">
        <v>101</v>
      </c>
      <c r="M19" s="68" t="str">
        <f>IF(OR($B$3="",File_Statistics!$J$5=1),"",RAG_Calculation!D9)</f>
        <v/>
      </c>
      <c r="N19" s="48" t="s">
        <v>102</v>
      </c>
      <c r="O19" s="67" t="str">
        <f>IF(OR($B$3="",File_Statistics!$J$5=1),"",RAG_Calculation!E9)</f>
        <v/>
      </c>
      <c r="Q19" s="45" t="s">
        <v>101</v>
      </c>
      <c r="R19" s="68" t="str">
        <f>IF(OR($B$3="",File_Statistics!$J$5=1),"",RAG_Calculation!E9)</f>
        <v/>
      </c>
      <c r="S19" s="48" t="s">
        <v>102</v>
      </c>
      <c r="T19" s="67" t="str">
        <f>IF(OR($B$3="",File_Statistics!$J$5=1),"",RAG_Calculation!G9)</f>
        <v/>
      </c>
    </row>
    <row r="20" spans="2:20" ht="15.75" x14ac:dyDescent="0.25">
      <c r="B20" s="398"/>
      <c r="D20" s="57" t="s">
        <v>104</v>
      </c>
      <c r="E20" s="82" t="str">
        <f>IF(OR($B$3="",File_Statistics!$J$5=1),"",RAG_Calculation!I9)</f>
        <v/>
      </c>
      <c r="G20" s="57" t="s">
        <v>103</v>
      </c>
      <c r="H20" s="69" t="str">
        <f>IF(OR($B$3="",File_Statistics!$J$5=1),"",RAG_Calculation!H9)</f>
        <v/>
      </c>
      <c r="I20" s="51" t="s">
        <v>102</v>
      </c>
      <c r="J20" s="82" t="str">
        <f>IF(OR($B$3="",File_Statistics!$J$5=1),"",RAG_Calculation!I9)</f>
        <v/>
      </c>
      <c r="L20" s="57" t="s">
        <v>103</v>
      </c>
      <c r="M20" s="69" t="str">
        <f>IF(OR($B$3="",File_Statistics!$J$5=1),"",RAG_Calculation!G9)</f>
        <v/>
      </c>
      <c r="N20" s="51" t="s">
        <v>102</v>
      </c>
      <c r="O20" s="82" t="str">
        <f>IF(OR($B$3="",File_Statistics!$J$5=1),"",RAG_Calculation!H9)</f>
        <v/>
      </c>
      <c r="Q20" s="57"/>
      <c r="R20" s="51"/>
      <c r="S20" s="51"/>
      <c r="T20" s="50"/>
    </row>
    <row r="21" spans="2:20" ht="5.65" customHeight="1" x14ac:dyDescent="0.2">
      <c r="B21" s="212"/>
    </row>
    <row r="22" spans="2:20" ht="15.75" x14ac:dyDescent="0.25">
      <c r="B22" s="397" t="s">
        <v>89</v>
      </c>
      <c r="D22" s="45" t="s">
        <v>107</v>
      </c>
      <c r="E22" s="67" t="str">
        <f>IF(OR($B$3="",File_Statistics!$J$5=1),"",RAG_Calculation!I10)</f>
        <v/>
      </c>
      <c r="G22" s="45" t="s">
        <v>101</v>
      </c>
      <c r="H22" s="68" t="str">
        <f>IF(OR($B$3="",File_Statistics!$J$5=1),"",RAG_Calculation!H10)</f>
        <v/>
      </c>
      <c r="I22" s="48" t="s">
        <v>102</v>
      </c>
      <c r="J22" s="67" t="str">
        <f>IF(OR($B$3="",File_Statistics!$J$5=1),"",RAG_Calculation!I10)</f>
        <v/>
      </c>
      <c r="L22" s="45" t="s">
        <v>101</v>
      </c>
      <c r="M22" s="68" t="str">
        <f>IF(OR($B$3="",File_Statistics!$J$5=1),"",RAG_Calculation!G10)</f>
        <v/>
      </c>
      <c r="N22" s="48" t="s">
        <v>102</v>
      </c>
      <c r="O22" s="67" t="str">
        <f>IF(OR($B$3="",File_Statistics!$J$5=1),"",RAG_Calculation!H10)</f>
        <v/>
      </c>
      <c r="Q22" s="45" t="s">
        <v>101</v>
      </c>
      <c r="R22" s="68" t="str">
        <f>IF(OR($B$3="",File_Statistics!$J$5=1),"",RAG_Calculation!E10)</f>
        <v/>
      </c>
      <c r="S22" s="48" t="s">
        <v>102</v>
      </c>
      <c r="T22" s="67" t="str">
        <f>IF(OR($B$3="",File_Statistics!$J$5=1),"",RAG_Calculation!G10)</f>
        <v/>
      </c>
    </row>
    <row r="23" spans="2:20" ht="15.75" x14ac:dyDescent="0.25">
      <c r="B23" s="398"/>
      <c r="D23" s="57"/>
      <c r="E23" s="50"/>
      <c r="G23" s="57"/>
      <c r="H23" s="51"/>
      <c r="I23" s="51"/>
      <c r="J23" s="50"/>
      <c r="L23" s="57" t="s">
        <v>108</v>
      </c>
      <c r="M23" s="69" t="str">
        <f>IF(OR($B$3="",File_Statistics!$J$5=1),"",RAG_Calculation!E10)</f>
        <v/>
      </c>
      <c r="N23" s="51"/>
      <c r="O23" s="50"/>
      <c r="Q23" s="57"/>
      <c r="R23" s="51"/>
      <c r="S23" s="51"/>
      <c r="T23" s="50"/>
    </row>
    <row r="24" spans="2:20" ht="5.25" customHeight="1" x14ac:dyDescent="0.2">
      <c r="B24" s="212"/>
    </row>
    <row r="25" spans="2:20" ht="15.75" x14ac:dyDescent="0.25">
      <c r="B25" s="397" t="s">
        <v>90</v>
      </c>
      <c r="D25" s="45" t="s">
        <v>107</v>
      </c>
      <c r="E25" s="67" t="str">
        <f>IF(OR($B$3="",File_Statistics!$J$5=1),"",RAG_Calculation!I11)</f>
        <v/>
      </c>
      <c r="G25" s="45" t="s">
        <v>101</v>
      </c>
      <c r="H25" s="68" t="str">
        <f>IF(OR($B$3="",File_Statistics!$J$5=1),"",RAG_Calculation!H11)</f>
        <v/>
      </c>
      <c r="I25" s="48" t="s">
        <v>102</v>
      </c>
      <c r="J25" s="67" t="str">
        <f>IF(OR($B$3="",File_Statistics!$J$5=1),"",RAG_Calculation!I11)</f>
        <v/>
      </c>
      <c r="L25" s="45" t="s">
        <v>101</v>
      </c>
      <c r="M25" s="68" t="str">
        <f>IF(OR($B$3="",File_Statistics!$J$5=1),"",RAG_Calculation!G11)</f>
        <v/>
      </c>
      <c r="N25" s="48" t="s">
        <v>102</v>
      </c>
      <c r="O25" s="67" t="str">
        <f>IF(OR($B$3="",File_Statistics!$J$5=1),"",RAG_Calculation!H11)</f>
        <v/>
      </c>
      <c r="Q25" s="45" t="s">
        <v>101</v>
      </c>
      <c r="R25" s="68" t="str">
        <f>IF(OR($B$3="",File_Statistics!$J$5=1),"",RAG_Calculation!E11)</f>
        <v/>
      </c>
      <c r="S25" s="48" t="s">
        <v>102</v>
      </c>
      <c r="T25" s="67" t="str">
        <f>IF(OR($B$3="",File_Statistics!$J$5=1),"",RAG_Calculation!G11)</f>
        <v/>
      </c>
    </row>
    <row r="26" spans="2:20" ht="15.75" x14ac:dyDescent="0.25">
      <c r="B26" s="398"/>
      <c r="D26" s="57"/>
      <c r="E26" s="50"/>
      <c r="G26" s="57"/>
      <c r="H26" s="51"/>
      <c r="I26" s="51"/>
      <c r="J26" s="50"/>
      <c r="L26" s="57" t="s">
        <v>108</v>
      </c>
      <c r="M26" s="69" t="str">
        <f>IF(OR($B$3="",File_Statistics!$J$5=1),"",RAG_Calculation!E11)</f>
        <v/>
      </c>
      <c r="N26" s="51"/>
      <c r="O26" s="50"/>
      <c r="Q26" s="57"/>
      <c r="R26" s="51"/>
      <c r="S26" s="51"/>
      <c r="T26" s="50"/>
    </row>
    <row r="27" spans="2:20" ht="5.25" customHeight="1" x14ac:dyDescent="0.2">
      <c r="B27" s="212"/>
    </row>
    <row r="28" spans="2:20" ht="15.75" x14ac:dyDescent="0.25">
      <c r="B28" s="397" t="s">
        <v>91</v>
      </c>
      <c r="D28" s="45" t="s">
        <v>107</v>
      </c>
      <c r="E28" s="67" t="str">
        <f>IF(OR($B$3="",File_Statistics!$J$5=1),"",RAG_Calculation!I12)</f>
        <v/>
      </c>
      <c r="G28" s="45" t="s">
        <v>101</v>
      </c>
      <c r="H28" s="68" t="str">
        <f>IF(OR($B$3="",File_Statistics!$J$5=1),"",RAG_Calculation!H12)</f>
        <v/>
      </c>
      <c r="I28" s="48" t="s">
        <v>102</v>
      </c>
      <c r="J28" s="67" t="str">
        <f>IF(OR($B$3="",File_Statistics!$J$5=1),"",RAG_Calculation!I12)</f>
        <v/>
      </c>
      <c r="L28" s="45" t="s">
        <v>99</v>
      </c>
      <c r="M28" s="68" t="str">
        <f>IF(OR($B$3="",File_Statistics!$J$5=1),"",RAG_Calculation!H12)</f>
        <v/>
      </c>
      <c r="N28" s="48"/>
      <c r="O28" s="80"/>
      <c r="Q28" s="45"/>
      <c r="R28" s="48"/>
      <c r="S28" s="48"/>
      <c r="T28" s="80"/>
    </row>
    <row r="29" spans="2:20" x14ac:dyDescent="0.2">
      <c r="B29" s="398"/>
      <c r="D29" s="57"/>
      <c r="E29" s="50"/>
      <c r="G29" s="57"/>
      <c r="H29" s="51"/>
      <c r="I29" s="51"/>
      <c r="J29" s="50"/>
      <c r="L29" s="57"/>
      <c r="M29" s="51"/>
      <c r="N29" s="51"/>
      <c r="O29" s="50"/>
      <c r="Q29" s="57"/>
      <c r="R29" s="51"/>
      <c r="S29" s="51"/>
      <c r="T29" s="50"/>
    </row>
    <row r="30" spans="2:20" ht="5.25" customHeight="1" x14ac:dyDescent="0.2">
      <c r="B30" s="212"/>
    </row>
    <row r="31" spans="2:20" ht="15.75" x14ac:dyDescent="0.25">
      <c r="B31" s="397" t="s">
        <v>92</v>
      </c>
      <c r="D31" s="45" t="s">
        <v>107</v>
      </c>
      <c r="E31" s="67" t="str">
        <f>IF(OR($B$3="",File_Statistics!$J$5=1),"",RAG_Calculation!I13)</f>
        <v/>
      </c>
      <c r="G31" s="45" t="s">
        <v>101</v>
      </c>
      <c r="H31" s="68" t="str">
        <f>IF(OR($B$3="",File_Statistics!$J$5=1),"",RAG_Calculation!H13)</f>
        <v/>
      </c>
      <c r="I31" s="48" t="s">
        <v>102</v>
      </c>
      <c r="J31" s="67" t="str">
        <f>IF(OR($B$3="",File_Statistics!$J$5=1),"",RAG_Calculation!I13)</f>
        <v/>
      </c>
      <c r="L31" s="45" t="s">
        <v>99</v>
      </c>
      <c r="M31" s="68" t="str">
        <f>IF(OR($B$3="",File_Statistics!$J$5=1),"",RAG_Calculation!H13)</f>
        <v/>
      </c>
      <c r="N31" s="48"/>
      <c r="O31" s="80"/>
      <c r="Q31" s="45"/>
      <c r="R31" s="48"/>
      <c r="S31" s="48"/>
      <c r="T31" s="80"/>
    </row>
    <row r="32" spans="2:20" x14ac:dyDescent="0.2">
      <c r="B32" s="398"/>
      <c r="D32" s="57"/>
      <c r="E32" s="50"/>
      <c r="G32" s="57"/>
      <c r="H32" s="51"/>
      <c r="I32" s="51"/>
      <c r="J32" s="50"/>
      <c r="L32" s="57"/>
      <c r="M32" s="51"/>
      <c r="N32" s="51"/>
      <c r="O32" s="50"/>
      <c r="Q32" s="57"/>
      <c r="R32" s="51"/>
      <c r="S32" s="51"/>
      <c r="T32" s="50"/>
    </row>
    <row r="33" spans="2:20" ht="5.25" customHeight="1" x14ac:dyDescent="0.2">
      <c r="B33" s="212"/>
    </row>
    <row r="34" spans="2:20" ht="15.75" x14ac:dyDescent="0.25">
      <c r="B34" s="397" t="s">
        <v>93</v>
      </c>
      <c r="D34" s="45" t="s">
        <v>107</v>
      </c>
      <c r="E34" s="67" t="str">
        <f>IF(OR($B$3="",File_Statistics!$J$5=1),"",RAG_Calculation!I14)</f>
        <v/>
      </c>
      <c r="G34" s="45" t="s">
        <v>101</v>
      </c>
      <c r="H34" s="68" t="str">
        <f>IF(OR($B$3="",File_Statistics!$J$5=1),"",RAG_Calculation!H14)</f>
        <v/>
      </c>
      <c r="I34" s="48" t="s">
        <v>102</v>
      </c>
      <c r="J34" s="67" t="str">
        <f>IF(OR($B$3="",File_Statistics!$J$5=1),"",RAG_Calculation!I14)</f>
        <v/>
      </c>
      <c r="L34" s="45" t="s">
        <v>99</v>
      </c>
      <c r="M34" s="68" t="str">
        <f>IF(OR($B$3="",File_Statistics!$J$5=1),"",RAG_Calculation!H14)</f>
        <v/>
      </c>
      <c r="N34" s="48"/>
      <c r="O34" s="80"/>
      <c r="Q34" s="45"/>
      <c r="R34" s="48"/>
      <c r="S34" s="48"/>
      <c r="T34" s="80"/>
    </row>
    <row r="35" spans="2:20" x14ac:dyDescent="0.2">
      <c r="B35" s="398"/>
      <c r="D35" s="57"/>
      <c r="E35" s="50"/>
      <c r="G35" s="57"/>
      <c r="H35" s="51"/>
      <c r="I35" s="51"/>
      <c r="J35" s="50"/>
      <c r="L35" s="57"/>
      <c r="M35" s="51"/>
      <c r="N35" s="51"/>
      <c r="O35" s="50"/>
      <c r="Q35" s="57"/>
      <c r="R35" s="51"/>
      <c r="S35" s="51"/>
      <c r="T35" s="50"/>
    </row>
    <row r="36" spans="2:20" ht="5.25" customHeight="1" x14ac:dyDescent="0.2">
      <c r="B36" s="212"/>
    </row>
    <row r="37" spans="2:20" ht="15.75" x14ac:dyDescent="0.25">
      <c r="B37" s="397" t="s">
        <v>94</v>
      </c>
      <c r="D37" s="45" t="s">
        <v>99</v>
      </c>
      <c r="E37" s="67" t="str">
        <f>IF(OR($B$3="",File_Statistics!$J$5=1),"",RAG_Calculation!C15)</f>
        <v/>
      </c>
      <c r="G37" s="45" t="s">
        <v>101</v>
      </c>
      <c r="H37" s="68" t="str">
        <f>IF(OR($B$3="",File_Statistics!$J$5=1),"",RAG_Calculation!C15)</f>
        <v/>
      </c>
      <c r="I37" s="48" t="s">
        <v>102</v>
      </c>
      <c r="J37" s="67" t="str">
        <f>IF(OR($B$3="",File_Statistics!$J$5=1),"",RAG_Calculation!D15)</f>
        <v/>
      </c>
      <c r="L37" s="45" t="s">
        <v>101</v>
      </c>
      <c r="M37" s="68" t="str">
        <f>IF(OR($B$3="",File_Statistics!$J$5=1),"",RAG_Calculation!D15)</f>
        <v/>
      </c>
      <c r="N37" s="48" t="s">
        <v>102</v>
      </c>
      <c r="O37" s="67" t="str">
        <f>IF(OR($B$3="",File_Statistics!$J$5=1),"",RAG_Calculation!E15)</f>
        <v/>
      </c>
      <c r="Q37" s="45" t="s">
        <v>101</v>
      </c>
      <c r="R37" s="68" t="str">
        <f>IF(OR($B$3="",File_Statistics!$J$5=1),"",RAG_Calculation!E15)</f>
        <v/>
      </c>
      <c r="S37" s="48" t="s">
        <v>102</v>
      </c>
      <c r="T37" s="67" t="str">
        <f>IF(OR($B$3="",File_Statistics!$J$5=1),"",RAG_Calculation!G15)</f>
        <v/>
      </c>
    </row>
    <row r="38" spans="2:20" ht="15.75" x14ac:dyDescent="0.25">
      <c r="B38" s="398"/>
      <c r="D38" s="57"/>
      <c r="E38" s="50"/>
      <c r="G38" s="57"/>
      <c r="H38" s="51"/>
      <c r="I38" s="51"/>
      <c r="J38" s="50"/>
      <c r="L38" s="57" t="s">
        <v>109</v>
      </c>
      <c r="M38" s="69" t="str">
        <f>IF(OR($B$3="",File_Statistics!$J$5=1),"",RAG_Calculation!G15)</f>
        <v/>
      </c>
      <c r="N38" s="51"/>
      <c r="O38" s="50"/>
      <c r="Q38" s="57"/>
      <c r="R38" s="51"/>
      <c r="S38" s="51"/>
      <c r="T38" s="50"/>
    </row>
    <row r="39" spans="2:20" ht="5.25" customHeight="1" x14ac:dyDescent="0.2">
      <c r="B39" s="212"/>
    </row>
    <row r="40" spans="2:20" ht="15.75" x14ac:dyDescent="0.25">
      <c r="B40" s="397" t="s">
        <v>95</v>
      </c>
      <c r="D40" s="45" t="s">
        <v>107</v>
      </c>
      <c r="E40" s="67" t="str">
        <f>IF(OR($B$3="",File_Statistics!$J$5=1),"",RAG_Calculation!I16)</f>
        <v/>
      </c>
      <c r="G40" s="45" t="s">
        <v>101</v>
      </c>
      <c r="H40" s="68" t="str">
        <f>IF(OR($B$3="",File_Statistics!$J$5=1),"",RAG_Calculation!H16)</f>
        <v/>
      </c>
      <c r="I40" s="48" t="s">
        <v>102</v>
      </c>
      <c r="J40" s="67" t="str">
        <f>IF(OR($B$3="",File_Statistics!$J$5=1),"",RAG_Calculation!I16)</f>
        <v/>
      </c>
      <c r="L40" s="45" t="s">
        <v>99</v>
      </c>
      <c r="M40" s="68" t="str">
        <f>IF(OR($B$3="",File_Statistics!$J$5=1),"",RAG_Calculation!H16)</f>
        <v/>
      </c>
      <c r="N40" s="48"/>
      <c r="O40" s="80"/>
      <c r="Q40" s="45"/>
      <c r="R40" s="48"/>
      <c r="S40" s="48"/>
      <c r="T40" s="80"/>
    </row>
    <row r="41" spans="2:20" ht="15" customHeight="1" x14ac:dyDescent="0.2">
      <c r="B41" s="398"/>
      <c r="D41" s="57"/>
      <c r="E41" s="50"/>
      <c r="G41" s="57"/>
      <c r="H41" s="51"/>
      <c r="I41" s="51"/>
      <c r="J41" s="50"/>
      <c r="L41" s="57"/>
      <c r="M41" s="51"/>
      <c r="N41" s="51"/>
      <c r="O41" s="50"/>
      <c r="Q41" s="57"/>
      <c r="R41" s="51"/>
      <c r="S41" s="51"/>
      <c r="T41" s="50"/>
    </row>
    <row r="42" spans="2:20" ht="5.25" customHeight="1" x14ac:dyDescent="0.2">
      <c r="B42" s="21"/>
    </row>
    <row r="43" spans="2:20" ht="15" customHeight="1" x14ac:dyDescent="0.2">
      <c r="B43" s="21"/>
    </row>
    <row r="44" spans="2:20" ht="15.75" x14ac:dyDescent="0.2">
      <c r="B44" s="214" t="s">
        <v>36</v>
      </c>
      <c r="C44" s="214"/>
      <c r="D44" s="185"/>
      <c r="E44" s="185"/>
      <c r="F44" s="214"/>
      <c r="G44" s="185"/>
      <c r="H44" s="185"/>
      <c r="I44" s="185"/>
      <c r="J44" s="185"/>
      <c r="K44" s="214"/>
      <c r="L44" s="185"/>
      <c r="M44" s="185"/>
      <c r="N44" s="185"/>
      <c r="O44" s="185"/>
      <c r="P44" s="214"/>
      <c r="Q44" s="185"/>
      <c r="R44" s="185"/>
      <c r="S44" s="185"/>
      <c r="T44" s="185"/>
    </row>
    <row r="45" spans="2:20" ht="5.85" customHeight="1" x14ac:dyDescent="0.2">
      <c r="D45" s="10"/>
      <c r="E45" s="10"/>
      <c r="G45" s="10"/>
      <c r="H45" s="10"/>
      <c r="I45" s="10"/>
      <c r="J45" s="10"/>
      <c r="L45" s="10"/>
      <c r="M45" s="10"/>
      <c r="N45" s="10"/>
      <c r="O45" s="10"/>
      <c r="Q45" s="10"/>
      <c r="R45" s="10"/>
      <c r="S45" s="10"/>
      <c r="T45" s="10"/>
    </row>
    <row r="46" spans="2:20" x14ac:dyDescent="0.2">
      <c r="D46" s="386" t="s">
        <v>98</v>
      </c>
      <c r="E46" s="387"/>
      <c r="G46" s="388" t="s">
        <v>100</v>
      </c>
      <c r="H46" s="389"/>
      <c r="I46" s="389"/>
      <c r="J46" s="390"/>
      <c r="L46" s="391" t="s">
        <v>105</v>
      </c>
      <c r="M46" s="392"/>
      <c r="N46" s="392"/>
      <c r="O46" s="393"/>
      <c r="Q46" s="394" t="s">
        <v>106</v>
      </c>
      <c r="R46" s="395"/>
      <c r="S46" s="395"/>
      <c r="T46" s="396"/>
    </row>
    <row r="47" spans="2:20" ht="5.85" customHeight="1" x14ac:dyDescent="0.2">
      <c r="D47" s="10"/>
      <c r="E47" s="10"/>
      <c r="G47" s="10"/>
      <c r="H47" s="10"/>
      <c r="I47" s="10"/>
      <c r="J47" s="10"/>
      <c r="L47" s="10"/>
      <c r="M47" s="10"/>
      <c r="N47" s="10"/>
      <c r="O47" s="10"/>
      <c r="Q47" s="10"/>
      <c r="R47" s="10"/>
      <c r="S47" s="10"/>
      <c r="T47" s="10"/>
    </row>
    <row r="48" spans="2:20" ht="15.75" x14ac:dyDescent="0.25">
      <c r="B48" s="397" t="s">
        <v>96</v>
      </c>
      <c r="D48" s="45" t="s">
        <v>99</v>
      </c>
      <c r="E48" s="67" t="str">
        <f>IF(OR($B$3="",File_Statistics!$J$5=1),"",-0.05)</f>
        <v/>
      </c>
      <c r="F48" s="74"/>
      <c r="G48" s="120" t="s">
        <v>101</v>
      </c>
      <c r="H48" s="68" t="str">
        <f>IF(OR($B$3="",File_Statistics!$J$5=1),"",-0.05)</f>
        <v/>
      </c>
      <c r="I48" s="121" t="s">
        <v>102</v>
      </c>
      <c r="J48" s="67" t="str">
        <f>IF(OR($B$3="",File_Statistics!$J$5=1),"",0)</f>
        <v/>
      </c>
      <c r="K48" s="74"/>
      <c r="L48" s="120" t="s">
        <v>141</v>
      </c>
      <c r="M48" s="81" t="str">
        <f>IF(OR($B$3="",File_Statistics!$J$5=1),"",0)</f>
        <v/>
      </c>
      <c r="N48" s="48"/>
      <c r="O48" s="80"/>
      <c r="Q48" s="45"/>
      <c r="R48" s="48"/>
      <c r="S48" s="48"/>
      <c r="T48" s="80"/>
    </row>
    <row r="49" spans="2:20" x14ac:dyDescent="0.2">
      <c r="B49" s="398"/>
      <c r="D49" s="57"/>
      <c r="E49" s="122"/>
      <c r="F49" s="74"/>
      <c r="G49" s="123"/>
      <c r="H49" s="124"/>
      <c r="I49" s="124"/>
      <c r="J49" s="122"/>
      <c r="K49" s="74"/>
      <c r="L49" s="123"/>
      <c r="M49" s="125"/>
      <c r="N49" s="51"/>
      <c r="O49" s="50"/>
      <c r="Q49" s="57"/>
      <c r="R49" s="51"/>
      <c r="S49" s="51"/>
      <c r="T49" s="50"/>
    </row>
    <row r="50" spans="2:20" ht="5.25" customHeight="1" x14ac:dyDescent="0.2">
      <c r="B50" s="212"/>
      <c r="E50" s="74"/>
      <c r="F50" s="74"/>
      <c r="G50" s="74"/>
      <c r="H50" s="74"/>
      <c r="I50" s="74"/>
      <c r="J50" s="74"/>
      <c r="K50" s="74"/>
      <c r="L50" s="74"/>
      <c r="M50" s="126"/>
    </row>
    <row r="51" spans="2:20" ht="15.75" x14ac:dyDescent="0.25">
      <c r="B51" s="397" t="s">
        <v>97</v>
      </c>
      <c r="D51" s="45" t="s">
        <v>99</v>
      </c>
      <c r="E51" s="67" t="str">
        <f>IF(OR($B$3="",File_Statistics!$J$5=1),"",-0.05)</f>
        <v/>
      </c>
      <c r="F51" s="74"/>
      <c r="G51" s="120" t="s">
        <v>101</v>
      </c>
      <c r="H51" s="68" t="str">
        <f>IF(OR($B$3="",File_Statistics!$J$5=1),"",-0.05)</f>
        <v/>
      </c>
      <c r="I51" s="121" t="s">
        <v>102</v>
      </c>
      <c r="J51" s="67" t="str">
        <f>IF(OR($B$3="",File_Statistics!$J$5=1),"",0)</f>
        <v/>
      </c>
      <c r="K51" s="74"/>
      <c r="L51" s="120" t="s">
        <v>141</v>
      </c>
      <c r="M51" s="81" t="str">
        <f>IF(OR($B$3="",File_Statistics!$J$5=1),"",0)</f>
        <v/>
      </c>
      <c r="N51" s="48"/>
      <c r="O51" s="80"/>
      <c r="Q51" s="45"/>
      <c r="R51" s="48"/>
      <c r="S51" s="48"/>
      <c r="T51" s="80"/>
    </row>
    <row r="52" spans="2:20" x14ac:dyDescent="0.2">
      <c r="B52" s="398"/>
      <c r="D52" s="57"/>
      <c r="E52" s="50"/>
      <c r="G52" s="57"/>
      <c r="H52" s="51"/>
      <c r="I52" s="51"/>
      <c r="J52" s="50"/>
      <c r="L52" s="57"/>
      <c r="M52" s="51"/>
      <c r="N52" s="51"/>
      <c r="O52" s="50"/>
      <c r="Q52" s="57"/>
      <c r="R52" s="51"/>
      <c r="S52" s="51"/>
      <c r="T52" s="50"/>
    </row>
    <row r="53" spans="2:20" ht="5.25" customHeight="1" x14ac:dyDescent="0.2">
      <c r="B53" s="21"/>
    </row>
    <row r="54" spans="2:20" ht="15" customHeight="1" x14ac:dyDescent="0.2">
      <c r="B54" s="21"/>
    </row>
    <row r="55" spans="2:20" ht="15.75" x14ac:dyDescent="0.2">
      <c r="B55" s="214" t="s">
        <v>37</v>
      </c>
      <c r="C55" s="214"/>
      <c r="D55" s="185"/>
      <c r="E55" s="185"/>
      <c r="F55" s="214"/>
      <c r="G55" s="185"/>
      <c r="H55" s="185"/>
      <c r="I55" s="185"/>
      <c r="J55" s="185"/>
      <c r="K55" s="214"/>
      <c r="L55" s="185"/>
      <c r="M55" s="185"/>
      <c r="N55" s="185"/>
      <c r="O55" s="185"/>
      <c r="P55" s="214"/>
      <c r="Q55" s="185"/>
      <c r="R55" s="185"/>
      <c r="S55" s="185"/>
      <c r="T55" s="185"/>
    </row>
    <row r="56" spans="2:20" ht="5.85" customHeight="1" x14ac:dyDescent="0.2">
      <c r="D56" s="10"/>
      <c r="E56" s="10"/>
      <c r="G56" s="10"/>
      <c r="H56" s="10"/>
      <c r="I56" s="10"/>
      <c r="J56" s="10"/>
      <c r="L56" s="10"/>
      <c r="M56" s="10"/>
      <c r="N56" s="10"/>
      <c r="O56" s="10"/>
      <c r="Q56" s="10"/>
      <c r="R56" s="10"/>
      <c r="S56" s="10"/>
      <c r="T56" s="10"/>
    </row>
    <row r="57" spans="2:20" x14ac:dyDescent="0.2">
      <c r="D57" s="386" t="s">
        <v>98</v>
      </c>
      <c r="E57" s="387"/>
      <c r="G57" s="388" t="s">
        <v>100</v>
      </c>
      <c r="H57" s="389"/>
      <c r="I57" s="389"/>
      <c r="J57" s="390"/>
      <c r="L57" s="391" t="s">
        <v>105</v>
      </c>
      <c r="M57" s="392"/>
      <c r="N57" s="392"/>
      <c r="O57" s="393"/>
      <c r="Q57" s="394" t="s">
        <v>106</v>
      </c>
      <c r="R57" s="395"/>
      <c r="S57" s="395"/>
      <c r="T57" s="396"/>
    </row>
    <row r="58" spans="2:20" ht="5.85" customHeight="1" x14ac:dyDescent="0.2">
      <c r="D58" s="10"/>
      <c r="E58" s="10"/>
      <c r="G58" s="10"/>
      <c r="H58" s="10"/>
      <c r="I58" s="10"/>
      <c r="J58" s="10"/>
      <c r="L58" s="10"/>
      <c r="M58" s="10"/>
      <c r="N58" s="10"/>
      <c r="O58" s="10"/>
      <c r="Q58" s="10"/>
      <c r="R58" s="10"/>
      <c r="S58" s="10"/>
      <c r="T58" s="10"/>
    </row>
    <row r="59" spans="2:20" ht="15.75" x14ac:dyDescent="0.25">
      <c r="B59" s="397" t="s">
        <v>32</v>
      </c>
      <c r="D59" s="45" t="s">
        <v>99</v>
      </c>
      <c r="E59" s="63" t="str">
        <f>IF(OR($B$3="",File_Statistics!$J$5=1),"",RAG_Calculation!C21)</f>
        <v/>
      </c>
      <c r="G59" s="45" t="s">
        <v>101</v>
      </c>
      <c r="H59" s="64" t="str">
        <f>IF(OR($B$3="",File_Statistics!$J$5=1),"",RAG_Calculation!C21)</f>
        <v/>
      </c>
      <c r="I59" s="48" t="s">
        <v>102</v>
      </c>
      <c r="J59" s="63" t="str">
        <f>IF(OR($B$3="",File_Statistics!$J$5=1),"",RAG_Calculation!D21)</f>
        <v/>
      </c>
      <c r="L59" s="45" t="s">
        <v>101</v>
      </c>
      <c r="M59" s="64" t="str">
        <f>IF(OR($B$3="",File_Statistics!$J$5=1),"",RAG_Calculation!D21)</f>
        <v/>
      </c>
      <c r="N59" s="48" t="s">
        <v>102</v>
      </c>
      <c r="O59" s="63" t="str">
        <f>IF(OR($B$3="",File_Statistics!$J$5=1),"",RAG_Calculation!E21)</f>
        <v/>
      </c>
      <c r="Q59" s="45" t="s">
        <v>101</v>
      </c>
      <c r="R59" s="64" t="str">
        <f>IF(OR($B$3="",File_Statistics!$J$5=1),"",RAG_Calculation!E21)</f>
        <v/>
      </c>
      <c r="S59" s="48" t="s">
        <v>102</v>
      </c>
      <c r="T59" s="63" t="str">
        <f>IF(OR($B$3="",File_Statistics!$J$5=1),"",RAG_Calculation!G21)</f>
        <v/>
      </c>
    </row>
    <row r="60" spans="2:20" ht="15.75" x14ac:dyDescent="0.25">
      <c r="B60" s="398"/>
      <c r="D60" s="57" t="s">
        <v>104</v>
      </c>
      <c r="E60" s="65" t="str">
        <f>IF(OR($B$3="",File_Statistics!$J$5=1),"",RAG_Calculation!I21)</f>
        <v/>
      </c>
      <c r="G60" s="57" t="s">
        <v>103</v>
      </c>
      <c r="H60" s="66" t="str">
        <f>IF(OR($B$3="",File_Statistics!$J$5=1),"",RAG_Calculation!H21)</f>
        <v/>
      </c>
      <c r="I60" s="51" t="s">
        <v>102</v>
      </c>
      <c r="J60" s="65" t="str">
        <f>IF(OR($B$3="",File_Statistics!$J$5=1),"",RAG_Calculation!I21)</f>
        <v/>
      </c>
      <c r="L60" s="57" t="s">
        <v>103</v>
      </c>
      <c r="M60" s="66" t="str">
        <f>IF(OR($B$3="",File_Statistics!$J$5=1),"",RAG_Calculation!G21)</f>
        <v/>
      </c>
      <c r="N60" s="51" t="s">
        <v>102</v>
      </c>
      <c r="O60" s="65" t="str">
        <f>IF(OR($B$3="",File_Statistics!$J$5=1),"",RAG_Calculation!H21)</f>
        <v/>
      </c>
      <c r="Q60" s="57"/>
      <c r="R60" s="51"/>
      <c r="S60" s="51"/>
      <c r="T60" s="50"/>
    </row>
    <row r="61" spans="2:20" ht="5.25" customHeight="1" x14ac:dyDescent="0.2">
      <c r="B61" s="212"/>
    </row>
    <row r="62" spans="2:20" ht="15.75" x14ac:dyDescent="0.25">
      <c r="B62" s="397" t="s">
        <v>33</v>
      </c>
      <c r="D62" s="45" t="s">
        <v>107</v>
      </c>
      <c r="E62" s="67" t="str">
        <f>IF(OR($B$3="",File_Statistics!$J$5=1),"",RAG_Calculation!I17)</f>
        <v/>
      </c>
      <c r="G62" s="45" t="s">
        <v>101</v>
      </c>
      <c r="H62" s="68" t="str">
        <f>IF(OR($B$3="",File_Statistics!$J$5=1),"",RAG_Calculation!H17)</f>
        <v/>
      </c>
      <c r="I62" s="48" t="s">
        <v>102</v>
      </c>
      <c r="J62" s="67" t="str">
        <f>IF(OR($B$3="",File_Statistics!$J$5=1),"",RAG_Calculation!I17)</f>
        <v/>
      </c>
      <c r="L62" s="45" t="s">
        <v>101</v>
      </c>
      <c r="M62" s="68" t="str">
        <f>IF(OR($B$3="",File_Statistics!$J$5=1),"",RAG_Calculation!G17)</f>
        <v/>
      </c>
      <c r="N62" s="48" t="s">
        <v>102</v>
      </c>
      <c r="O62" s="67" t="str">
        <f>IF(OR($B$3="",File_Statistics!$J$5=1),"",RAG_Calculation!H17)</f>
        <v/>
      </c>
      <c r="Q62" s="45" t="s">
        <v>101</v>
      </c>
      <c r="R62" s="68" t="str">
        <f>IF(OR($B$3="",File_Statistics!$J$5=1),"",RAG_Calculation!E17)</f>
        <v/>
      </c>
      <c r="S62" s="48" t="s">
        <v>102</v>
      </c>
      <c r="T62" s="67" t="str">
        <f>IF(OR($B$3="",File_Statistics!$J$5=1),"",RAG_Calculation!G17)</f>
        <v/>
      </c>
    </row>
    <row r="63" spans="2:20" ht="15.75" x14ac:dyDescent="0.25">
      <c r="B63" s="398"/>
      <c r="D63" s="57"/>
      <c r="E63" s="50"/>
      <c r="G63" s="57"/>
      <c r="H63" s="51"/>
      <c r="I63" s="51"/>
      <c r="J63" s="50"/>
      <c r="L63" s="57" t="s">
        <v>108</v>
      </c>
      <c r="M63" s="69" t="str">
        <f>IF(OR($B$3="",File_Statistics!$J$5=1),"",RAG_Calculation!E17)</f>
        <v/>
      </c>
      <c r="N63" s="51"/>
      <c r="O63" s="50"/>
      <c r="Q63" s="57"/>
      <c r="R63" s="51"/>
      <c r="S63" s="51"/>
      <c r="T63" s="50"/>
    </row>
    <row r="64" spans="2:20" ht="5.25" customHeight="1" x14ac:dyDescent="0.2">
      <c r="B64" s="212"/>
    </row>
    <row r="65" spans="2:20" ht="15.75" x14ac:dyDescent="0.25">
      <c r="B65" s="397" t="s">
        <v>4</v>
      </c>
      <c r="D65" s="45" t="s">
        <v>99</v>
      </c>
      <c r="E65" s="70" t="str">
        <f>IF(OR($B$3="",File_Statistics!$J$5=1),"",RAG_Calculation!C18)</f>
        <v/>
      </c>
      <c r="G65" s="45" t="s">
        <v>101</v>
      </c>
      <c r="H65" s="71" t="str">
        <f>IF(OR($B$3="",File_Statistics!$J$5=1),"",RAG_Calculation!C18)</f>
        <v/>
      </c>
      <c r="I65" s="48" t="s">
        <v>102</v>
      </c>
      <c r="J65" s="70" t="str">
        <f>IF(OR($B$3="",File_Statistics!$J$5=1),"",RAG_Calculation!D18)</f>
        <v/>
      </c>
      <c r="L65" s="45" t="s">
        <v>101</v>
      </c>
      <c r="M65" s="71" t="str">
        <f>IF(OR($B$3="",File_Statistics!$J$5=1),"",RAG_Calculation!D18)</f>
        <v/>
      </c>
      <c r="N65" s="48" t="s">
        <v>102</v>
      </c>
      <c r="O65" s="70" t="str">
        <f>IF(OR($B$3="",File_Statistics!$J$5=1),"",RAG_Calculation!E18)</f>
        <v/>
      </c>
      <c r="Q65" s="45" t="s">
        <v>101</v>
      </c>
      <c r="R65" s="71" t="str">
        <f>IF(OR($B$3="",File_Statistics!$J$5=1),"",RAG_Calculation!E18)</f>
        <v/>
      </c>
      <c r="S65" s="48" t="s">
        <v>102</v>
      </c>
      <c r="T65" s="70" t="str">
        <f>IF(OR($B$3="",File_Statistics!$J$5=1),"",RAG_Calculation!G18)</f>
        <v/>
      </c>
    </row>
    <row r="66" spans="2:20" ht="15.75" x14ac:dyDescent="0.25">
      <c r="B66" s="398"/>
      <c r="D66" s="57" t="s">
        <v>104</v>
      </c>
      <c r="E66" s="72" t="str">
        <f>IF(OR($B$3="",File_Statistics!$J$5=1),"",RAG_Calculation!I18)</f>
        <v/>
      </c>
      <c r="G66" s="57" t="s">
        <v>103</v>
      </c>
      <c r="H66" s="73" t="str">
        <f>IF(OR($B$3="",File_Statistics!$J$5=1),"",RAG_Calculation!H18)</f>
        <v/>
      </c>
      <c r="I66" s="51" t="s">
        <v>102</v>
      </c>
      <c r="J66" s="72" t="str">
        <f>IF(OR($B$3="",File_Statistics!$J$5=1),"",RAG_Calculation!I18)</f>
        <v/>
      </c>
      <c r="L66" s="57" t="s">
        <v>103</v>
      </c>
      <c r="M66" s="73" t="str">
        <f>IF(OR($B$3="",File_Statistics!$J$5=1),"",RAG_Calculation!G18)</f>
        <v/>
      </c>
      <c r="N66" s="51" t="s">
        <v>102</v>
      </c>
      <c r="O66" s="72" t="str">
        <f>IF(OR($B$3="",File_Statistics!$J$5=1),"",RAG_Calculation!H18)</f>
        <v/>
      </c>
      <c r="Q66" s="57"/>
      <c r="R66" s="51"/>
      <c r="S66" s="51"/>
      <c r="T66" s="50"/>
    </row>
    <row r="67" spans="2:20" ht="5.25" customHeight="1" x14ac:dyDescent="0.2">
      <c r="B67" s="212"/>
      <c r="E67" s="74"/>
    </row>
    <row r="68" spans="2:20" ht="15.75" x14ac:dyDescent="0.25">
      <c r="B68" s="397" t="s">
        <v>14</v>
      </c>
      <c r="D68" s="45" t="s">
        <v>99</v>
      </c>
      <c r="E68" s="70" t="str">
        <f>IF(OR($B$3="",File_Statistics!$J$5=1),"",RAG_Calculation!C19)</f>
        <v/>
      </c>
      <c r="G68" s="45" t="s">
        <v>101</v>
      </c>
      <c r="H68" s="71" t="str">
        <f>IF(OR($B$3="",File_Statistics!$J$5=1),"",RAG_Calculation!C19)</f>
        <v/>
      </c>
      <c r="I68" s="48" t="s">
        <v>102</v>
      </c>
      <c r="J68" s="70" t="str">
        <f>IF(OR($B$3="",File_Statistics!$J$5=1),"",RAG_Calculation!D19)</f>
        <v/>
      </c>
      <c r="L68" s="45" t="s">
        <v>101</v>
      </c>
      <c r="M68" s="71" t="str">
        <f>IF(OR($B$3="",File_Statistics!$J$5=1),"",RAG_Calculation!D19)</f>
        <v/>
      </c>
      <c r="N68" s="48" t="s">
        <v>102</v>
      </c>
      <c r="O68" s="70" t="str">
        <f>IF(OR($B$3="",File_Statistics!$J$5=1),"",RAG_Calculation!E19)</f>
        <v/>
      </c>
      <c r="Q68" s="45" t="s">
        <v>101</v>
      </c>
      <c r="R68" s="71" t="str">
        <f>IF(OR($B$3="",File_Statistics!$J$5=1),"",RAG_Calculation!E19)</f>
        <v/>
      </c>
      <c r="S68" s="48" t="s">
        <v>102</v>
      </c>
      <c r="T68" s="70" t="str">
        <f>IF(OR($B$3="",File_Statistics!$J$5=1),"",RAG_Calculation!G19)</f>
        <v/>
      </c>
    </row>
    <row r="69" spans="2:20" ht="15.75" x14ac:dyDescent="0.25">
      <c r="B69" s="398"/>
      <c r="D69" s="57" t="s">
        <v>104</v>
      </c>
      <c r="E69" s="72" t="str">
        <f>IF(OR($B$3="",File_Statistics!$J$5=1),"",RAG_Calculation!I19)</f>
        <v/>
      </c>
      <c r="G69" s="57" t="s">
        <v>103</v>
      </c>
      <c r="H69" s="73" t="str">
        <f>IF(OR($B$3="",File_Statistics!$J$5=1),"",RAG_Calculation!H19)</f>
        <v/>
      </c>
      <c r="I69" s="51" t="s">
        <v>102</v>
      </c>
      <c r="J69" s="72" t="str">
        <f>IF(OR($B$3="",File_Statistics!$J$5=1),"",RAG_Calculation!I19)</f>
        <v/>
      </c>
      <c r="L69" s="57" t="s">
        <v>103</v>
      </c>
      <c r="M69" s="73" t="str">
        <f>IF(OR($B$3="",File_Statistics!$J$5=1),"",RAG_Calculation!G19)</f>
        <v/>
      </c>
      <c r="N69" s="51" t="s">
        <v>102</v>
      </c>
      <c r="O69" s="72" t="str">
        <f>IF(OR($B$3="",File_Statistics!$J$5=1),"",RAG_Calculation!H19)</f>
        <v/>
      </c>
      <c r="Q69" s="57"/>
      <c r="R69" s="51"/>
      <c r="S69" s="51"/>
      <c r="T69" s="50"/>
    </row>
    <row r="70" spans="2:20" ht="5.25" customHeight="1" x14ac:dyDescent="0.2">
      <c r="B70" s="212"/>
      <c r="E70" s="74"/>
    </row>
    <row r="71" spans="2:20" ht="15.75" x14ac:dyDescent="0.25">
      <c r="B71" s="397" t="str">
        <f>IF(OR($B$7="- an alternative provision school",$B$7="- a special school",$B$7="- a nursery school"),"","Teacher contact ratio (less than 1.0)")</f>
        <v>Teacher contact ratio (less than 1.0)</v>
      </c>
      <c r="D71" s="45" t="str">
        <f>IF(B71="","","Less than or equal to")</f>
        <v>Less than or equal to</v>
      </c>
      <c r="E71" s="75" t="str">
        <f>IF(OR($B$7="- an alternative provision school",$B$7="- a special school",$B$7="- a nursery school",$B$3="",File_Statistics!$J$5=1),"",0.7)</f>
        <v/>
      </c>
      <c r="F71" s="58"/>
      <c r="G71" s="53" t="str">
        <f>IF(B71="","","Between")</f>
        <v>Between</v>
      </c>
      <c r="H71" s="76" t="str">
        <f>IF(OR($B$7="- an alternative provision school",$B$7="- a special school",$B$7="- a nursery school",$B$3="",File_Statistics!$J$5=1),"",0.7)</f>
        <v/>
      </c>
      <c r="I71" s="55" t="str">
        <f>IF(B71="","","and")</f>
        <v>and</v>
      </c>
      <c r="J71" s="75" t="str">
        <f>IF(OR($B$7="- an alternative provision school",$B$7="- a special school",$B$7="- a nursery school",$B$3="",File_Statistics!$J$5=1),"",0.74)</f>
        <v/>
      </c>
      <c r="K71" s="58"/>
      <c r="L71" s="53" t="str">
        <f>IF(B71="","","Between")</f>
        <v>Between</v>
      </c>
      <c r="M71" s="76" t="str">
        <f>IF(OR($B$7="- an alternative provision school",$B$7="- a special school",$B$7="- a nursery school",$B$3="",File_Statistics!$J$5=1),"",0.74)</f>
        <v/>
      </c>
      <c r="N71" s="55" t="str">
        <f>IF(G71="","","and")</f>
        <v>and</v>
      </c>
      <c r="O71" s="75" t="str">
        <f>IF(OR($B$7="- an alternative provision school",$B$7="- a special school",$B$7="- a nursery school",$B$3="",File_Statistics!$J$5=1),"",0.8)</f>
        <v/>
      </c>
      <c r="Q71" s="45"/>
      <c r="R71" s="181"/>
      <c r="S71" s="48"/>
      <c r="T71" s="182"/>
    </row>
    <row r="72" spans="2:20" ht="15.75" x14ac:dyDescent="0.25">
      <c r="B72" s="398"/>
      <c r="D72" s="57" t="str">
        <f>IF(B71="","","Or more than")</f>
        <v>Or more than</v>
      </c>
      <c r="E72" s="77" t="str">
        <f>IF(OR($B$7="- an alternative provision school",$B$7="- a special school",$B$7="- a nursery school",$B$3="",File_Statistics!$J$5=1),"",0.82)</f>
        <v/>
      </c>
      <c r="F72" s="58"/>
      <c r="G72" s="60" t="str">
        <f>IF(B71="","","Or between")</f>
        <v>Or between</v>
      </c>
      <c r="H72" s="78" t="str">
        <f>IF(OR($B$7="- an alternative provision school",$B$7="- a special school",$B$7="- a nursery school",$B$3="",File_Statistics!$J$5=1),"",0.8)</f>
        <v/>
      </c>
      <c r="I72" s="61" t="str">
        <f>IF(B72="","","and")</f>
        <v/>
      </c>
      <c r="J72" s="77" t="str">
        <f>IF(OR($B$7="- an alternative provision school",$B$7="- a special school",$B$7="- a nursery school",$B$3="",File_Statistics!$J$5=1),"",0.82)</f>
        <v/>
      </c>
      <c r="K72" s="58"/>
      <c r="L72" s="60"/>
      <c r="M72" s="62"/>
      <c r="N72" s="61"/>
      <c r="O72" s="79"/>
      <c r="Q72" s="57"/>
      <c r="R72" s="51"/>
      <c r="S72" s="51"/>
      <c r="T72" s="50"/>
    </row>
    <row r="73" spans="2:20" ht="5.25" customHeight="1" x14ac:dyDescent="0.2">
      <c r="B73" s="212"/>
    </row>
    <row r="74" spans="2:20" ht="15.75" x14ac:dyDescent="0.25">
      <c r="B74" s="397" t="s">
        <v>35</v>
      </c>
      <c r="D74" s="45" t="s">
        <v>99</v>
      </c>
      <c r="E74" s="67" t="str">
        <f>IF(OR($B$3="",File_Statistics!$J$5=1),"",-0.1)</f>
        <v/>
      </c>
      <c r="G74" s="45" t="s">
        <v>101</v>
      </c>
      <c r="H74" s="68" t="str">
        <f>IF(OR($B$3="",File_Statistics!$J$5=1),"",-0.1)</f>
        <v/>
      </c>
      <c r="I74" s="48" t="s">
        <v>102</v>
      </c>
      <c r="J74" s="67" t="str">
        <f>IF(OR($B$3="",File_Statistics!$J$5=1),"",-0.02)</f>
        <v/>
      </c>
      <c r="L74" s="45" t="s">
        <v>107</v>
      </c>
      <c r="M74" s="68" t="str">
        <f>IF(OR($B$3="",File_Statistics!$J$5=1),"",-0.02)</f>
        <v/>
      </c>
      <c r="N74" s="48"/>
      <c r="O74" s="80"/>
      <c r="Q74" s="45"/>
      <c r="R74" s="48"/>
      <c r="S74" s="48"/>
      <c r="T74" s="80"/>
    </row>
    <row r="75" spans="2:20" x14ac:dyDescent="0.2">
      <c r="B75" s="398"/>
      <c r="D75" s="57"/>
      <c r="E75" s="50"/>
      <c r="G75" s="57"/>
      <c r="H75" s="51"/>
      <c r="I75" s="51"/>
      <c r="J75" s="50"/>
      <c r="L75" s="57"/>
      <c r="M75" s="51"/>
      <c r="N75" s="51"/>
      <c r="O75" s="50"/>
      <c r="Q75" s="57"/>
      <c r="R75" s="51"/>
      <c r="S75" s="51"/>
      <c r="T75" s="50"/>
    </row>
    <row r="76" spans="2:20" ht="5.25" customHeight="1" x14ac:dyDescent="0.2">
      <c r="B76" s="212"/>
    </row>
    <row r="77" spans="2:20" ht="15.75" x14ac:dyDescent="0.25">
      <c r="B77" s="397" t="str">
        <f>IF(OR($B$7="- an alternative provision school",$B$7="- a special school",$B$7="- a nursery school"),"","Average class size")</f>
        <v>Average class size</v>
      </c>
      <c r="D77" s="45" t="str">
        <f>IF(B77="","","Less than or equal to")</f>
        <v>Less than or equal to</v>
      </c>
      <c r="E77" s="70" t="str">
        <f>IF(OR($B$3="",File_Statistics!$J$5=1),"",RAG_Calculation!C20)</f>
        <v/>
      </c>
      <c r="G77" s="45" t="str">
        <f>IF(B77="","","Between")</f>
        <v>Between</v>
      </c>
      <c r="H77" s="71" t="str">
        <f>IF(OR($B$3="",File_Statistics!$J$5=1),"",RAG_Calculation!C20)</f>
        <v/>
      </c>
      <c r="I77" s="48" t="str">
        <f>IF(B77="","","and")</f>
        <v>and</v>
      </c>
      <c r="J77" s="70" t="str">
        <f>IF(OR($B$3="",File_Statistics!$J$5=1),"",RAG_Calculation!D20)</f>
        <v/>
      </c>
      <c r="L77" s="45" t="str">
        <f>IF(B77="","","Between")</f>
        <v>Between</v>
      </c>
      <c r="M77" s="71" t="str">
        <f>IF(OR($B$3="",File_Statistics!$J$5=1),"",RAG_Calculation!D20)</f>
        <v/>
      </c>
      <c r="N77" s="48" t="str">
        <f>IF(B77="","","and")</f>
        <v>and</v>
      </c>
      <c r="O77" s="70" t="str">
        <f>IF(OR($B$3="",File_Statistics!$J$5=1),"",RAG_Calculation!E20)</f>
        <v/>
      </c>
      <c r="Q77" s="45" t="str">
        <f>IF(B77="","","Between")</f>
        <v>Between</v>
      </c>
      <c r="R77" s="71" t="str">
        <f>IF(OR($B$3="",File_Statistics!$J$5=1),"",RAG_Calculation!E20)</f>
        <v/>
      </c>
      <c r="S77" s="48" t="str">
        <f>IF(B77="","","and")</f>
        <v>and</v>
      </c>
      <c r="T77" s="70" t="str">
        <f>IF(OR($B$3="",File_Statistics!$J$5=1),"",RAG_Calculation!G20)</f>
        <v/>
      </c>
    </row>
    <row r="78" spans="2:20" ht="15.75" x14ac:dyDescent="0.25">
      <c r="B78" s="398"/>
      <c r="D78" s="57" t="str">
        <f>IF(B77="","","Or more than")</f>
        <v>Or more than</v>
      </c>
      <c r="E78" s="72" t="str">
        <f>IF(OR($B$3="",File_Statistics!$J$5=1),"",RAG_Calculation!I20)</f>
        <v/>
      </c>
      <c r="G78" s="57" t="str">
        <f>IF(B77="","","Or between")</f>
        <v>Or between</v>
      </c>
      <c r="H78" s="73" t="str">
        <f>IF(OR($B$3="",File_Statistics!$J$5=1),"",RAG_Calculation!H20)</f>
        <v/>
      </c>
      <c r="I78" s="51" t="str">
        <f>IF(B77="","","and")</f>
        <v>and</v>
      </c>
      <c r="J78" s="72" t="str">
        <f>IF(OR($B$3="",File_Statistics!$J$5=1),"",RAG_Calculation!I20)</f>
        <v/>
      </c>
      <c r="L78" s="57" t="str">
        <f>IF(B77="","","Or between")</f>
        <v>Or between</v>
      </c>
      <c r="M78" s="73" t="str">
        <f>IF(OR($B$3="",File_Statistics!$J$5=1),"",RAG_Calculation!G20)</f>
        <v/>
      </c>
      <c r="N78" s="51" t="str">
        <f>IF(B77="","","and")</f>
        <v>and</v>
      </c>
      <c r="O78" s="72" t="str">
        <f>IF(OR($B$3="",File_Statistics!$J$5=1),"",RAG_Calculation!H20)</f>
        <v/>
      </c>
      <c r="Q78" s="57"/>
      <c r="R78" s="51"/>
      <c r="S78" s="51"/>
      <c r="T78" s="50"/>
    </row>
    <row r="79" spans="2:20" ht="5.25" customHeight="1" x14ac:dyDescent="0.2">
      <c r="B79" s="21"/>
    </row>
    <row r="80" spans="2:20" ht="15" customHeight="1" x14ac:dyDescent="0.2">
      <c r="B80" s="21"/>
    </row>
    <row r="81" spans="2:20" ht="15.75" x14ac:dyDescent="0.2">
      <c r="B81" s="214" t="s">
        <v>38</v>
      </c>
      <c r="C81" s="214"/>
      <c r="D81" s="185"/>
      <c r="E81" s="185"/>
      <c r="F81" s="214"/>
      <c r="G81" s="185"/>
      <c r="H81" s="185"/>
      <c r="I81" s="185"/>
      <c r="J81" s="185"/>
      <c r="K81" s="214"/>
      <c r="L81" s="185"/>
      <c r="M81" s="185"/>
      <c r="N81" s="185"/>
      <c r="O81" s="185"/>
      <c r="P81" s="214"/>
      <c r="Q81" s="185"/>
      <c r="R81" s="185"/>
      <c r="S81" s="185"/>
      <c r="T81" s="185"/>
    </row>
    <row r="82" spans="2:20" ht="5.85" customHeight="1" x14ac:dyDescent="0.2">
      <c r="D82" s="10"/>
      <c r="E82" s="10"/>
      <c r="G82" s="10"/>
      <c r="H82" s="10"/>
      <c r="I82" s="10"/>
      <c r="J82" s="10"/>
      <c r="L82" s="10"/>
      <c r="M82" s="10"/>
      <c r="N82" s="10"/>
      <c r="O82" s="10"/>
      <c r="Q82" s="10"/>
      <c r="R82" s="10"/>
      <c r="S82" s="10"/>
      <c r="T82" s="10"/>
    </row>
    <row r="83" spans="2:20" x14ac:dyDescent="0.2">
      <c r="D83" s="386" t="s">
        <v>98</v>
      </c>
      <c r="E83" s="387"/>
      <c r="G83" s="388" t="s">
        <v>100</v>
      </c>
      <c r="H83" s="389"/>
      <c r="I83" s="389"/>
      <c r="J83" s="390"/>
      <c r="L83" s="391" t="s">
        <v>105</v>
      </c>
      <c r="M83" s="392"/>
      <c r="N83" s="392"/>
      <c r="O83" s="393"/>
      <c r="Q83" s="394" t="s">
        <v>106</v>
      </c>
      <c r="R83" s="395"/>
      <c r="S83" s="395"/>
      <c r="T83" s="396"/>
    </row>
    <row r="84" spans="2:20" ht="5.85" customHeight="1" x14ac:dyDescent="0.2">
      <c r="D84" s="10"/>
      <c r="E84" s="10"/>
      <c r="G84" s="10"/>
      <c r="H84" s="10"/>
      <c r="I84" s="10"/>
      <c r="J84" s="10"/>
      <c r="L84" s="10"/>
      <c r="M84" s="10"/>
      <c r="N84" s="10"/>
      <c r="O84" s="10"/>
      <c r="Q84" s="10"/>
      <c r="R84" s="10"/>
      <c r="S84" s="10"/>
      <c r="T84" s="10"/>
    </row>
    <row r="85" spans="2:20" ht="15" customHeight="1" x14ac:dyDescent="0.25">
      <c r="B85" s="397" t="s">
        <v>7</v>
      </c>
      <c r="D85" s="45" t="s">
        <v>113</v>
      </c>
      <c r="E85" s="46"/>
      <c r="G85" s="45" t="s">
        <v>113</v>
      </c>
      <c r="H85" s="47"/>
      <c r="I85" s="48"/>
      <c r="J85" s="46"/>
      <c r="L85" s="45" t="s">
        <v>113</v>
      </c>
      <c r="M85" s="47"/>
      <c r="N85" s="48"/>
      <c r="O85" s="46"/>
      <c r="Q85" s="45" t="s">
        <v>113</v>
      </c>
      <c r="R85" s="47"/>
      <c r="S85" s="48"/>
      <c r="T85" s="182"/>
    </row>
    <row r="86" spans="2:20" ht="15.75" x14ac:dyDescent="0.25">
      <c r="B86" s="398"/>
      <c r="D86" s="49" t="str">
        <f>IF($B$3="","","Inadequate")</f>
        <v/>
      </c>
      <c r="E86" s="50"/>
      <c r="G86" s="49" t="str">
        <f>IF($B$3="","","Requires Improvement (RI)")</f>
        <v/>
      </c>
      <c r="H86" s="51"/>
      <c r="I86" s="51"/>
      <c r="J86" s="50"/>
      <c r="L86" s="49" t="str">
        <f>IF($B$3="","","Good")</f>
        <v/>
      </c>
      <c r="M86" s="52"/>
      <c r="N86" s="51"/>
      <c r="O86" s="50"/>
      <c r="Q86" s="49" t="str">
        <f>IF($B$3="","","Outstanding")</f>
        <v/>
      </c>
      <c r="R86" s="51"/>
      <c r="S86" s="51"/>
      <c r="T86" s="50"/>
    </row>
    <row r="87" spans="2:20" ht="5.25" customHeight="1" x14ac:dyDescent="0.2">
      <c r="B87" s="212"/>
    </row>
    <row r="88" spans="2:20" ht="15.75" x14ac:dyDescent="0.25">
      <c r="B88" s="397" t="str">
        <f>IF(OR($B$7="- a primary school",$B$7="- a nursery school"),"","Progress 8 score")</f>
        <v>Progress 8 score</v>
      </c>
      <c r="D88" s="45" t="str">
        <f>IF(B88="","","Less than or equal to")</f>
        <v>Less than or equal to</v>
      </c>
      <c r="E88" s="46" t="str">
        <f>IF(OR($B$3="",B88="",File_Statistics!$J$5=1),"",-0.5)</f>
        <v/>
      </c>
      <c r="G88" s="53" t="str">
        <f>IF(B88="","","Between")</f>
        <v>Between</v>
      </c>
      <c r="H88" s="54" t="str">
        <f>IF(OR($B$3="",B88="",File_Statistics!$J$5=1),"",-0.5)</f>
        <v/>
      </c>
      <c r="I88" s="55" t="str">
        <f>IF(B88="","","and")</f>
        <v>and</v>
      </c>
      <c r="J88" s="56" t="str">
        <f>IF(OR($B$3="",B88="",File_Statistics!$J$5=1),"",0)</f>
        <v/>
      </c>
      <c r="L88" s="53" t="str">
        <f>IF(B88="","","Between")</f>
        <v>Between</v>
      </c>
      <c r="M88" s="54" t="str">
        <f>IF(OR($B$3="",B88="",File_Statistics!$J$5=1),"",0)</f>
        <v/>
      </c>
      <c r="N88" s="55" t="str">
        <f>IF(B88="","","and")</f>
        <v>and</v>
      </c>
      <c r="O88" s="56" t="str">
        <f>IF(OR($B$3="",B88="",File_Statistics!$J$5=1),"",0.5)</f>
        <v/>
      </c>
      <c r="Q88" s="53" t="str">
        <f>IF(B88="","","More than")</f>
        <v>More than</v>
      </c>
      <c r="R88" s="54" t="str">
        <f>IF(OR($B$3="",B88="",File_Statistics!$J$5=1),"",0.5)</f>
        <v/>
      </c>
      <c r="S88" s="48"/>
      <c r="T88" s="182"/>
    </row>
    <row r="89" spans="2:20" ht="15.75" x14ac:dyDescent="0.25">
      <c r="B89" s="398"/>
      <c r="D89" s="57"/>
      <c r="E89" s="50"/>
      <c r="G89" s="57"/>
      <c r="H89" s="51"/>
      <c r="I89" s="51"/>
      <c r="J89" s="50"/>
      <c r="L89" s="57"/>
      <c r="M89" s="52"/>
      <c r="N89" s="51"/>
      <c r="O89" s="50"/>
      <c r="Q89" s="57"/>
      <c r="R89" s="51"/>
      <c r="S89" s="51"/>
      <c r="T89" s="50"/>
    </row>
    <row r="90" spans="2:20" ht="5.25" customHeight="1" x14ac:dyDescent="0.2">
      <c r="B90" s="212"/>
    </row>
    <row r="91" spans="2:20" ht="15.75" x14ac:dyDescent="0.25">
      <c r="B91" s="397" t="str">
        <f>IF(OR($B$7="- a secondary school with a sixth form", $B$7="- a secondary school without a sixth form",$B$7="- a nursery school"),"","Progress score in reading")</f>
        <v>Progress score in reading</v>
      </c>
      <c r="D91" s="45" t="str">
        <f>IF(B91="","","Less than or equal to")</f>
        <v>Less than or equal to</v>
      </c>
      <c r="E91" s="56" t="str">
        <f>IF(OR($B$3="",B91="",File_Statistics!$J$5=1),"",-2.7)</f>
        <v/>
      </c>
      <c r="G91" s="53" t="str">
        <f>IF(B91="","","Between")</f>
        <v>Between</v>
      </c>
      <c r="H91" s="54" t="str">
        <f>IF(OR($B$3="",B91="",File_Statistics!$J$5=1),"",-2.7)</f>
        <v/>
      </c>
      <c r="I91" s="55" t="str">
        <f>IF(B91="","","and")</f>
        <v>and</v>
      </c>
      <c r="J91" s="56" t="str">
        <f>IF(OR($B$3="",B91="",File_Statistics!$J$5=1),"",0)</f>
        <v/>
      </c>
      <c r="K91" s="58"/>
      <c r="L91" s="53" t="str">
        <f>IF(B91="","","Between")</f>
        <v>Between</v>
      </c>
      <c r="M91" s="54" t="str">
        <f>IF(OR($B$3="",B91="",File_Statistics!$J$5=1),"",0)</f>
        <v/>
      </c>
      <c r="N91" s="55" t="str">
        <f>IF(B91="","","and")</f>
        <v>and</v>
      </c>
      <c r="O91" s="56" t="str">
        <f>IF(OR($B$3="",B91="",File_Statistics!$J$5=1),"",3.2)</f>
        <v/>
      </c>
      <c r="P91" s="58"/>
      <c r="Q91" s="53" t="str">
        <f>IF(B91="","","More than")</f>
        <v>More than</v>
      </c>
      <c r="R91" s="54" t="str">
        <f>IF(OR($B$3="",B91="",File_Statistics!$J$5=1),"",3.2)</f>
        <v/>
      </c>
      <c r="S91" s="48"/>
      <c r="T91" s="182"/>
    </row>
    <row r="92" spans="2:20" ht="15.75" x14ac:dyDescent="0.25">
      <c r="B92" s="398"/>
      <c r="D92" s="57"/>
      <c r="E92" s="59"/>
      <c r="G92" s="60"/>
      <c r="H92" s="51"/>
      <c r="I92" s="61"/>
      <c r="J92" s="50"/>
      <c r="L92" s="60"/>
      <c r="M92" s="52"/>
      <c r="N92" s="61"/>
      <c r="O92" s="50"/>
      <c r="Q92" s="60"/>
      <c r="R92" s="51"/>
      <c r="S92" s="51"/>
      <c r="T92" s="50"/>
    </row>
    <row r="93" spans="2:20" ht="5.25" customHeight="1" x14ac:dyDescent="0.2">
      <c r="B93" s="212"/>
      <c r="E93" s="58"/>
      <c r="G93" s="58"/>
      <c r="H93" s="58"/>
      <c r="I93" s="58"/>
      <c r="J93" s="58"/>
      <c r="K93" s="58"/>
      <c r="L93" s="58"/>
      <c r="M93" s="58"/>
      <c r="N93" s="58"/>
      <c r="O93" s="58"/>
      <c r="P93" s="58"/>
      <c r="Q93" s="58"/>
      <c r="R93" s="58"/>
      <c r="S93" s="58"/>
    </row>
    <row r="94" spans="2:20" ht="15.75" x14ac:dyDescent="0.25">
      <c r="B94" s="397" t="str">
        <f>IF(OR($B$7="- a secondary school with a sixth form", $B$7="- a secondary school without a sixth form",$B$7="- a nursery school"),"","Progress score in writing")</f>
        <v>Progress score in writing</v>
      </c>
      <c r="D94" s="45" t="str">
        <f>IF(B94="","","Less than or equal to")</f>
        <v>Less than or equal to</v>
      </c>
      <c r="E94" s="56" t="str">
        <f>IF(OR($B$3="",B94="",File_Statistics!$J$5=1),"",-2.6)</f>
        <v/>
      </c>
      <c r="G94" s="53" t="str">
        <f>IF(B94="","","Between")</f>
        <v>Between</v>
      </c>
      <c r="H94" s="54" t="str">
        <f>IF(OR($B$3="",B94="",File_Statistics!$J$5=1),"",-2.6)</f>
        <v/>
      </c>
      <c r="I94" s="55" t="str">
        <f>IF(B94="","","and")</f>
        <v>and</v>
      </c>
      <c r="J94" s="56" t="str">
        <f>IF(OR($B$3="",B94="",File_Statistics!$J$5=1),"",0)</f>
        <v/>
      </c>
      <c r="K94" s="58"/>
      <c r="L94" s="53" t="str">
        <f>IF(B94="","","Between")</f>
        <v>Between</v>
      </c>
      <c r="M94" s="54" t="str">
        <f>IF(OR($B$3="",B94="",File_Statistics!$J$5=1),"",0)</f>
        <v/>
      </c>
      <c r="N94" s="55" t="str">
        <f>IF(B94="","","and")</f>
        <v>and</v>
      </c>
      <c r="O94" s="56" t="str">
        <f>IF(OR($B$3="",B94="",File_Statistics!$J$5=1),"",2.7)</f>
        <v/>
      </c>
      <c r="P94" s="58"/>
      <c r="Q94" s="53" t="str">
        <f>IF(B94="","","More than")</f>
        <v>More than</v>
      </c>
      <c r="R94" s="54" t="str">
        <f>IF(OR($B$3="",B94="",File_Statistics!$J$5=1),"",2.7)</f>
        <v/>
      </c>
      <c r="S94" s="55"/>
      <c r="T94" s="182"/>
    </row>
    <row r="95" spans="2:20" ht="15.75" x14ac:dyDescent="0.25">
      <c r="B95" s="398"/>
      <c r="D95" s="57"/>
      <c r="E95" s="59"/>
      <c r="G95" s="60"/>
      <c r="H95" s="61"/>
      <c r="I95" s="61"/>
      <c r="J95" s="59"/>
      <c r="K95" s="58"/>
      <c r="L95" s="60"/>
      <c r="M95" s="62"/>
      <c r="N95" s="61"/>
      <c r="O95" s="59"/>
      <c r="P95" s="58"/>
      <c r="Q95" s="60"/>
      <c r="R95" s="61"/>
      <c r="S95" s="61"/>
      <c r="T95" s="50"/>
    </row>
    <row r="96" spans="2:20" ht="5.25" customHeight="1" x14ac:dyDescent="0.2">
      <c r="B96" s="212"/>
      <c r="E96" s="58"/>
      <c r="G96" s="58"/>
      <c r="H96" s="58"/>
      <c r="I96" s="58"/>
      <c r="J96" s="58"/>
      <c r="K96" s="58"/>
      <c r="L96" s="58"/>
      <c r="M96" s="58"/>
      <c r="N96" s="58"/>
      <c r="O96" s="58"/>
      <c r="P96" s="58"/>
      <c r="Q96" s="58"/>
      <c r="R96" s="58"/>
      <c r="S96" s="58"/>
    </row>
    <row r="97" spans="2:20" ht="15.75" x14ac:dyDescent="0.25">
      <c r="B97" s="397" t="str">
        <f>IF(OR($B$7="- a secondary school with a sixth form", $B$7="- a secondary school without a sixth form",$B$7="- a nursery school"),"","Progress score in maths")</f>
        <v>Progress score in maths</v>
      </c>
      <c r="D97" s="45" t="str">
        <f>IF(B97="","","Less than or equal to")</f>
        <v>Less than or equal to</v>
      </c>
      <c r="E97" s="56" t="str">
        <f>IF(OR($B$3="",B97="",File_Statistics!$J$5=1),"",-3.1)</f>
        <v/>
      </c>
      <c r="G97" s="53" t="str">
        <f>IF(B97="","","Between")</f>
        <v>Between</v>
      </c>
      <c r="H97" s="54" t="str">
        <f>IF(OR($B$3="",B97="",File_Statistics!$J$5=1),"",-3.1)</f>
        <v/>
      </c>
      <c r="I97" s="55" t="str">
        <f>IF(B97="","","and")</f>
        <v>and</v>
      </c>
      <c r="J97" s="56" t="str">
        <f>IF(OR($B$3="",B97="",File_Statistics!$J$5=1),"",0)</f>
        <v/>
      </c>
      <c r="K97" s="58"/>
      <c r="L97" s="53" t="str">
        <f>IF(B97="","","Between")</f>
        <v>Between</v>
      </c>
      <c r="M97" s="54" t="str">
        <f>IF(OR($B$3="",B97="",File_Statistics!$J$5=1),"",0)</f>
        <v/>
      </c>
      <c r="N97" s="55" t="str">
        <f>IF(B97="","","and")</f>
        <v>and</v>
      </c>
      <c r="O97" s="56" t="str">
        <f>IF(OR($B$3="",B97="",File_Statistics!$J$5=1),"",3.2)</f>
        <v/>
      </c>
      <c r="P97" s="58"/>
      <c r="Q97" s="53" t="str">
        <f>IF(B97="","","More than")</f>
        <v>More than</v>
      </c>
      <c r="R97" s="54" t="str">
        <f>IF(OR($B$3="",B97="",File_Statistics!$J$5=1),"",3.2)</f>
        <v/>
      </c>
      <c r="S97" s="55"/>
      <c r="T97" s="182"/>
    </row>
    <row r="98" spans="2:20" ht="15.75" x14ac:dyDescent="0.25">
      <c r="B98" s="398"/>
      <c r="D98" s="57"/>
      <c r="E98" s="50"/>
      <c r="G98" s="60"/>
      <c r="H98" s="51"/>
      <c r="I98" s="61"/>
      <c r="J98" s="50"/>
      <c r="L98" s="60"/>
      <c r="M98" s="52"/>
      <c r="N98" s="61"/>
      <c r="O98" s="50"/>
      <c r="Q98" s="60"/>
      <c r="R98" s="51"/>
      <c r="S98" s="51"/>
      <c r="T98" s="50"/>
    </row>
    <row r="99" spans="2:20" x14ac:dyDescent="0.2"/>
    <row r="100" spans="2:20" x14ac:dyDescent="0.2"/>
    <row r="101" spans="2:20" x14ac:dyDescent="0.2"/>
    <row r="102" spans="2:20" x14ac:dyDescent="0.2"/>
    <row r="103" spans="2:20" x14ac:dyDescent="0.2"/>
    <row r="104" spans="2:20" x14ac:dyDescent="0.2"/>
  </sheetData>
  <sheetProtection algorithmName="SHA-512" hashValue="Kz0/i25Y/6qxVRwLS0736sCVevE9SSgps1whexRhNX42xR0W+skbnuZh3YitOGFzRPTLm6Cs2G+aebjHFHCbnw==" saltValue="Dd8xys4/uE27UVtbv10jBg==" spinCount="100000" sheet="1" objects="1" scenarios="1"/>
  <mergeCells count="39">
    <mergeCell ref="H2:T9"/>
    <mergeCell ref="G17:J17"/>
    <mergeCell ref="L17:O17"/>
    <mergeCell ref="Q17:T17"/>
    <mergeCell ref="B22:B23"/>
    <mergeCell ref="B25:B26"/>
    <mergeCell ref="B28:B29"/>
    <mergeCell ref="B31:B32"/>
    <mergeCell ref="B19:B20"/>
    <mergeCell ref="D17:E17"/>
    <mergeCell ref="B34:B35"/>
    <mergeCell ref="B37:B38"/>
    <mergeCell ref="B40:B41"/>
    <mergeCell ref="D46:E46"/>
    <mergeCell ref="G46:J46"/>
    <mergeCell ref="L46:O46"/>
    <mergeCell ref="B68:B69"/>
    <mergeCell ref="Q46:T46"/>
    <mergeCell ref="B48:B49"/>
    <mergeCell ref="B51:B52"/>
    <mergeCell ref="D57:E57"/>
    <mergeCell ref="G57:J57"/>
    <mergeCell ref="L57:O57"/>
    <mergeCell ref="Q57:T57"/>
    <mergeCell ref="B88:B89"/>
    <mergeCell ref="B91:B92"/>
    <mergeCell ref="B94:B95"/>
    <mergeCell ref="B97:B98"/>
    <mergeCell ref="B74:B75"/>
    <mergeCell ref="B77:B78"/>
    <mergeCell ref="B85:B86"/>
    <mergeCell ref="D83:E83"/>
    <mergeCell ref="G83:J83"/>
    <mergeCell ref="L83:O83"/>
    <mergeCell ref="Q83:T83"/>
    <mergeCell ref="B59:B60"/>
    <mergeCell ref="B62:B63"/>
    <mergeCell ref="B65:B66"/>
    <mergeCell ref="B71:B72"/>
  </mergeCells>
  <conditionalFormatting sqref="B71:T72">
    <cfRule type="expression" dxfId="22" priority="4">
      <formula>$B$71=""</formula>
    </cfRule>
  </conditionalFormatting>
  <conditionalFormatting sqref="B77:T78">
    <cfRule type="expression" dxfId="21" priority="3">
      <formula>$B$77=""</formula>
    </cfRule>
  </conditionalFormatting>
  <conditionalFormatting sqref="B88:T89">
    <cfRule type="expression" dxfId="20" priority="2">
      <formula>$B$88=""</formula>
    </cfRule>
  </conditionalFormatting>
  <conditionalFormatting sqref="B91:T98">
    <cfRule type="expression" dxfId="19" priority="1">
      <formula>$B$91=""</formula>
    </cfRule>
  </conditionalFormatting>
  <dataValidations count="1">
    <dataValidation type="list" showInputMessage="1" showErrorMessage="1" errorTitle="Error" error="Select a school from the drop down list." prompt="Select school from drop down list" sqref="B3">
      <formula1>SchoolList</formula1>
    </dataValidation>
  </dataValidations>
  <pageMargins left="0.7" right="0.7" top="0.75" bottom="0.75" header="0.3" footer="0.3"/>
  <pageSetup paperSize="9" scale="40" orientation="landscape" r:id="rId1"/>
  <customProperties>
    <customPr name="_pios_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0" tint="-0.499984740745262"/>
    <pageSetUpPr fitToPage="1"/>
  </sheetPr>
  <dimension ref="A1:XFC608"/>
  <sheetViews>
    <sheetView showGridLines="0" topLeftCell="B216" zoomScale="85" zoomScaleNormal="85" workbookViewId="0">
      <selection activeCell="D244" sqref="D244"/>
    </sheetView>
  </sheetViews>
  <sheetFormatPr defaultColWidth="0" defaultRowHeight="15" zeroHeight="1" outlineLevelRow="1" x14ac:dyDescent="0.2"/>
  <cols>
    <col min="1" max="1" width="13.7109375" style="232" hidden="1" customWidth="1"/>
    <col min="2" max="2" width="30.140625" style="232" customWidth="1"/>
    <col min="3" max="3" width="13" style="232" customWidth="1"/>
    <col min="4" max="4" width="15" style="232" customWidth="1"/>
    <col min="5" max="5" width="77.85546875" style="233" bestFit="1" customWidth="1"/>
    <col min="6" max="7" width="9" style="233" customWidth="1"/>
    <col min="8" max="8" width="9.5703125" style="233" customWidth="1"/>
    <col min="9" max="9" width="9.85546875" style="233" customWidth="1"/>
    <col min="10" max="10" width="9" style="233" customWidth="1"/>
    <col min="11" max="12" width="9.5703125" style="233" customWidth="1"/>
    <col min="13" max="18" width="9" style="233" customWidth="1"/>
    <col min="19" max="16381" width="9" style="233" hidden="1"/>
    <col min="16382" max="16382" width="1" style="233" hidden="1" customWidth="1"/>
    <col min="16383" max="16383" width="0.85546875" style="233" hidden="1" customWidth="1"/>
    <col min="16384" max="16384" width="3.85546875" style="233" hidden="1" customWidth="1"/>
  </cols>
  <sheetData>
    <row r="1" spans="1:14" ht="15.75" x14ac:dyDescent="0.25">
      <c r="A1" s="236"/>
      <c r="B1" s="238" t="s">
        <v>186</v>
      </c>
      <c r="C1" s="236"/>
      <c r="D1" s="236"/>
      <c r="E1" s="236"/>
      <c r="F1" s="236"/>
      <c r="G1" s="236"/>
      <c r="H1" s="236"/>
      <c r="I1" s="236"/>
      <c r="J1" s="236"/>
      <c r="K1" s="236"/>
      <c r="L1" s="236"/>
      <c r="M1" s="236"/>
      <c r="N1" s="236"/>
    </row>
    <row r="2" spans="1:14" s="234" customFormat="1" x14ac:dyDescent="0.2">
      <c r="A2" s="240"/>
      <c r="B2" s="240"/>
      <c r="C2" s="240"/>
      <c r="D2" s="240"/>
      <c r="E2" s="240"/>
      <c r="F2" s="240"/>
      <c r="G2" s="240"/>
      <c r="H2" s="240"/>
      <c r="I2" s="240"/>
      <c r="J2" s="240"/>
      <c r="K2" s="240"/>
      <c r="L2" s="240"/>
      <c r="M2" s="240"/>
      <c r="N2" s="240"/>
    </row>
    <row r="3" spans="1:14" s="235" customFormat="1" ht="60" x14ac:dyDescent="0.25">
      <c r="A3" s="241" t="s">
        <v>129</v>
      </c>
      <c r="B3" s="241" t="s">
        <v>15</v>
      </c>
      <c r="C3" s="241" t="s">
        <v>112</v>
      </c>
      <c r="D3" s="241" t="s">
        <v>19</v>
      </c>
      <c r="E3" s="242"/>
      <c r="F3" s="243" t="s">
        <v>132</v>
      </c>
      <c r="G3" s="243" t="s">
        <v>133</v>
      </c>
      <c r="H3" s="243" t="s">
        <v>134</v>
      </c>
      <c r="I3" s="243" t="s">
        <v>139</v>
      </c>
      <c r="J3" s="243" t="s">
        <v>138</v>
      </c>
      <c r="K3" s="243" t="s">
        <v>135</v>
      </c>
      <c r="L3" s="243" t="s">
        <v>136</v>
      </c>
      <c r="M3" s="242"/>
      <c r="N3" s="242" t="s">
        <v>137</v>
      </c>
    </row>
    <row r="4" spans="1:14" ht="15.75" x14ac:dyDescent="0.25">
      <c r="A4" s="237">
        <v>726</v>
      </c>
      <c r="B4" s="239" t="s">
        <v>20</v>
      </c>
      <c r="C4" s="239" t="s">
        <v>119</v>
      </c>
      <c r="D4" s="239" t="s">
        <v>120</v>
      </c>
      <c r="E4" s="244" t="s">
        <v>187</v>
      </c>
      <c r="F4" s="236"/>
      <c r="G4" s="236"/>
      <c r="H4" s="236"/>
      <c r="I4" s="236"/>
      <c r="J4" s="236"/>
      <c r="K4" s="236"/>
      <c r="L4" s="236"/>
      <c r="M4" s="236"/>
      <c r="N4" s="236"/>
    </row>
    <row r="5" spans="1:14" ht="15.6" hidden="1" customHeight="1" outlineLevel="1" x14ac:dyDescent="0.25">
      <c r="A5" s="236"/>
      <c r="B5" s="240" t="s">
        <v>20</v>
      </c>
      <c r="C5" s="240" t="s">
        <v>119</v>
      </c>
      <c r="D5" s="240" t="s">
        <v>120</v>
      </c>
      <c r="E5" s="245" t="s">
        <v>88</v>
      </c>
      <c r="F5" s="246">
        <v>0.39700000000000002</v>
      </c>
      <c r="G5" s="247">
        <v>0.42899999999999999</v>
      </c>
      <c r="H5" s="248">
        <v>0.46500000000000002</v>
      </c>
      <c r="I5" s="249">
        <v>0.48</v>
      </c>
      <c r="J5" s="248">
        <v>0.497</v>
      </c>
      <c r="K5" s="247">
        <v>0.52800000000000002</v>
      </c>
      <c r="L5" s="246">
        <v>0.55200000000000005</v>
      </c>
      <c r="M5" s="236"/>
      <c r="N5" s="236"/>
    </row>
    <row r="6" spans="1:14" ht="15.6" hidden="1" customHeight="1" outlineLevel="1" x14ac:dyDescent="0.25">
      <c r="A6" s="236"/>
      <c r="B6" s="240" t="s">
        <v>20</v>
      </c>
      <c r="C6" s="240" t="s">
        <v>119</v>
      </c>
      <c r="D6" s="240" t="s">
        <v>120</v>
      </c>
      <c r="E6" s="245" t="s">
        <v>89</v>
      </c>
      <c r="F6" s="249"/>
      <c r="G6" s="249"/>
      <c r="H6" s="248">
        <v>1.6E-2</v>
      </c>
      <c r="I6" s="249">
        <v>0.02</v>
      </c>
      <c r="J6" s="248">
        <v>2.5000000000000001E-2</v>
      </c>
      <c r="K6" s="247">
        <v>4.1000000000000002E-2</v>
      </c>
      <c r="L6" s="246">
        <v>5.8000000000000003E-2</v>
      </c>
      <c r="M6" s="236"/>
      <c r="N6" s="236"/>
    </row>
    <row r="7" spans="1:14" ht="15.6" hidden="1" customHeight="1" outlineLevel="1" x14ac:dyDescent="0.25">
      <c r="A7" s="236"/>
      <c r="B7" s="240" t="s">
        <v>20</v>
      </c>
      <c r="C7" s="240" t="s">
        <v>119</v>
      </c>
      <c r="D7" s="240" t="s">
        <v>120</v>
      </c>
      <c r="E7" s="245" t="s">
        <v>90</v>
      </c>
      <c r="F7" s="249"/>
      <c r="G7" s="249"/>
      <c r="H7" s="248">
        <v>0.124</v>
      </c>
      <c r="I7" s="249">
        <v>0.13600000000000001</v>
      </c>
      <c r="J7" s="248">
        <v>0.14499999999999999</v>
      </c>
      <c r="K7" s="247">
        <v>0.17100000000000001</v>
      </c>
      <c r="L7" s="246">
        <v>0.193</v>
      </c>
      <c r="M7" s="236"/>
      <c r="N7" s="236"/>
    </row>
    <row r="8" spans="1:14" ht="15.6" hidden="1" customHeight="1" outlineLevel="1" x14ac:dyDescent="0.25">
      <c r="A8" s="236"/>
      <c r="B8" s="240" t="s">
        <v>20</v>
      </c>
      <c r="C8" s="240" t="s">
        <v>119</v>
      </c>
      <c r="D8" s="240" t="s">
        <v>120</v>
      </c>
      <c r="E8" s="245" t="s">
        <v>91</v>
      </c>
      <c r="F8" s="249"/>
      <c r="G8" s="249"/>
      <c r="H8" s="249"/>
      <c r="I8" s="249">
        <v>1.9E-2</v>
      </c>
      <c r="J8" s="249"/>
      <c r="K8" s="247">
        <v>0.04</v>
      </c>
      <c r="L8" s="246">
        <v>7.0000000000000007E-2</v>
      </c>
      <c r="M8" s="236"/>
      <c r="N8" s="236"/>
    </row>
    <row r="9" spans="1:14" ht="15.6" hidden="1" customHeight="1" outlineLevel="1" x14ac:dyDescent="0.25">
      <c r="A9" s="236"/>
      <c r="B9" s="240" t="s">
        <v>20</v>
      </c>
      <c r="C9" s="240" t="s">
        <v>119</v>
      </c>
      <c r="D9" s="240" t="s">
        <v>120</v>
      </c>
      <c r="E9" s="245" t="s">
        <v>92</v>
      </c>
      <c r="F9" s="249"/>
      <c r="G9" s="249"/>
      <c r="H9" s="249"/>
      <c r="I9" s="249">
        <v>3.1E-2</v>
      </c>
      <c r="J9" s="249"/>
      <c r="K9" s="247">
        <v>5.1000000000000004E-2</v>
      </c>
      <c r="L9" s="246">
        <v>6.6000000000000003E-2</v>
      </c>
      <c r="M9" s="236"/>
      <c r="N9" s="236"/>
    </row>
    <row r="10" spans="1:14" ht="15.6" hidden="1" customHeight="1" outlineLevel="1" x14ac:dyDescent="0.25">
      <c r="A10" s="236"/>
      <c r="B10" s="240" t="s">
        <v>20</v>
      </c>
      <c r="C10" s="240" t="s">
        <v>119</v>
      </c>
      <c r="D10" s="240" t="s">
        <v>120</v>
      </c>
      <c r="E10" s="245" t="s">
        <v>93</v>
      </c>
      <c r="F10" s="249"/>
      <c r="G10" s="249"/>
      <c r="H10" s="249"/>
      <c r="I10" s="249">
        <v>8.5000000000000006E-2</v>
      </c>
      <c r="J10" s="249"/>
      <c r="K10" s="247">
        <v>0.112</v>
      </c>
      <c r="L10" s="246">
        <v>0.127</v>
      </c>
      <c r="M10" s="236"/>
      <c r="N10" s="236"/>
    </row>
    <row r="11" spans="1:14" ht="15.6" hidden="1" customHeight="1" outlineLevel="1" x14ac:dyDescent="0.25">
      <c r="A11" s="236"/>
      <c r="B11" s="240" t="s">
        <v>20</v>
      </c>
      <c r="C11" s="240" t="s">
        <v>119</v>
      </c>
      <c r="D11" s="240" t="s">
        <v>120</v>
      </c>
      <c r="E11" s="245" t="s">
        <v>94</v>
      </c>
      <c r="F11" s="246">
        <v>3.3000000000000002E-2</v>
      </c>
      <c r="G11" s="247">
        <v>4.1000000000000002E-2</v>
      </c>
      <c r="H11" s="248">
        <v>5.2999999999999999E-2</v>
      </c>
      <c r="I11" s="249">
        <v>0.06</v>
      </c>
      <c r="J11" s="248">
        <v>6.7000000000000004E-2</v>
      </c>
      <c r="K11" s="249"/>
      <c r="L11" s="249"/>
      <c r="M11" s="236"/>
      <c r="N11" s="236"/>
    </row>
    <row r="12" spans="1:14" ht="15.6" hidden="1" customHeight="1" outlineLevel="1" x14ac:dyDescent="0.25">
      <c r="A12" s="236"/>
      <c r="B12" s="240" t="s">
        <v>20</v>
      </c>
      <c r="C12" s="240" t="s">
        <v>119</v>
      </c>
      <c r="D12" s="240" t="s">
        <v>120</v>
      </c>
      <c r="E12" s="245" t="s">
        <v>95</v>
      </c>
      <c r="F12" s="249"/>
      <c r="G12" s="249"/>
      <c r="H12" s="249"/>
      <c r="I12" s="249">
        <v>1.4E-2</v>
      </c>
      <c r="J12" s="249"/>
      <c r="K12" s="247">
        <v>1.9E-2</v>
      </c>
      <c r="L12" s="246">
        <v>2.3E-2</v>
      </c>
      <c r="M12" s="236"/>
      <c r="N12" s="236"/>
    </row>
    <row r="13" spans="1:14" ht="15.6" hidden="1" customHeight="1" outlineLevel="1" x14ac:dyDescent="0.25">
      <c r="A13" s="236"/>
      <c r="B13" s="240" t="s">
        <v>20</v>
      </c>
      <c r="C13" s="240" t="s">
        <v>119</v>
      </c>
      <c r="D13" s="240" t="s">
        <v>120</v>
      </c>
      <c r="E13" s="245" t="s">
        <v>33</v>
      </c>
      <c r="F13" s="249"/>
      <c r="G13" s="249"/>
      <c r="H13" s="248">
        <v>0.111</v>
      </c>
      <c r="I13" s="249">
        <v>0.122</v>
      </c>
      <c r="J13" s="248">
        <v>0.13900000000000001</v>
      </c>
      <c r="K13" s="247">
        <v>0.17899999999999999</v>
      </c>
      <c r="L13" s="246">
        <v>0.20800000000000002</v>
      </c>
      <c r="M13" s="236"/>
      <c r="N13" s="236"/>
    </row>
    <row r="14" spans="1:14" ht="15.6" hidden="1" customHeight="1" outlineLevel="1" x14ac:dyDescent="0.25">
      <c r="A14" s="236"/>
      <c r="B14" s="240" t="s">
        <v>20</v>
      </c>
      <c r="C14" s="240" t="s">
        <v>119</v>
      </c>
      <c r="D14" s="240" t="s">
        <v>120</v>
      </c>
      <c r="E14" s="245" t="s">
        <v>4</v>
      </c>
      <c r="F14" s="250">
        <v>12.4</v>
      </c>
      <c r="G14" s="251">
        <v>14</v>
      </c>
      <c r="H14" s="252">
        <v>16.3</v>
      </c>
      <c r="I14" s="253">
        <v>17.100000000000001</v>
      </c>
      <c r="J14" s="252">
        <v>17.8</v>
      </c>
      <c r="K14" s="251">
        <v>20</v>
      </c>
      <c r="L14" s="250">
        <v>22</v>
      </c>
      <c r="M14" s="236"/>
      <c r="N14" s="236"/>
    </row>
    <row r="15" spans="1:14" ht="15.6" hidden="1" customHeight="1" outlineLevel="1" x14ac:dyDescent="0.25">
      <c r="A15" s="236"/>
      <c r="B15" s="240" t="s">
        <v>20</v>
      </c>
      <c r="C15" s="240" t="s">
        <v>119</v>
      </c>
      <c r="D15" s="240" t="s">
        <v>120</v>
      </c>
      <c r="E15" s="245" t="s">
        <v>14</v>
      </c>
      <c r="F15" s="250">
        <v>5.7</v>
      </c>
      <c r="G15" s="251">
        <v>6.7</v>
      </c>
      <c r="H15" s="252">
        <v>7.7</v>
      </c>
      <c r="I15" s="253">
        <v>8.1</v>
      </c>
      <c r="J15" s="252">
        <v>8.6</v>
      </c>
      <c r="K15" s="251">
        <v>9.6000000000000014</v>
      </c>
      <c r="L15" s="250">
        <v>10.9</v>
      </c>
      <c r="M15" s="236"/>
      <c r="N15" s="236"/>
    </row>
    <row r="16" spans="1:14" ht="15.6" hidden="1" customHeight="1" outlineLevel="1" x14ac:dyDescent="0.25">
      <c r="A16" s="236"/>
      <c r="B16" s="240" t="s">
        <v>20</v>
      </c>
      <c r="C16" s="240" t="s">
        <v>119</v>
      </c>
      <c r="D16" s="240" t="s">
        <v>120</v>
      </c>
      <c r="E16" s="245" t="s">
        <v>0</v>
      </c>
      <c r="F16" s="250">
        <v>14</v>
      </c>
      <c r="G16" s="251">
        <v>16.8</v>
      </c>
      <c r="H16" s="252">
        <v>20</v>
      </c>
      <c r="I16" s="253">
        <v>21</v>
      </c>
      <c r="J16" s="252">
        <v>22.3</v>
      </c>
      <c r="K16" s="251">
        <v>24</v>
      </c>
      <c r="L16" s="250">
        <v>25</v>
      </c>
      <c r="M16" s="236"/>
      <c r="N16" s="236"/>
    </row>
    <row r="17" spans="1:12" ht="15.6" hidden="1" customHeight="1" outlineLevel="1" x14ac:dyDescent="0.25">
      <c r="A17" s="236"/>
      <c r="B17" s="236"/>
      <c r="C17" s="236"/>
      <c r="D17" s="236"/>
      <c r="E17" s="236"/>
      <c r="F17" s="236"/>
      <c r="G17" s="236"/>
      <c r="H17" s="236"/>
      <c r="I17" s="236"/>
      <c r="J17" s="236"/>
      <c r="K17" s="236"/>
      <c r="L17" s="236"/>
    </row>
    <row r="18" spans="1:12" ht="15.75" collapsed="1" x14ac:dyDescent="0.25">
      <c r="A18" s="237">
        <v>698</v>
      </c>
      <c r="B18" s="239" t="s">
        <v>20</v>
      </c>
      <c r="C18" s="239" t="s">
        <v>121</v>
      </c>
      <c r="D18" s="239" t="s">
        <v>120</v>
      </c>
      <c r="E18" s="244" t="s">
        <v>188</v>
      </c>
      <c r="F18" s="236"/>
      <c r="G18" s="236"/>
      <c r="H18" s="236"/>
      <c r="I18" s="236"/>
      <c r="J18" s="236"/>
      <c r="K18" s="236"/>
      <c r="L18" s="236"/>
    </row>
    <row r="19" spans="1:12" ht="15.6" hidden="1" customHeight="1" outlineLevel="1" x14ac:dyDescent="0.25">
      <c r="A19" s="236"/>
      <c r="B19" s="239" t="s">
        <v>20</v>
      </c>
      <c r="C19" s="239" t="s">
        <v>121</v>
      </c>
      <c r="D19" s="239" t="s">
        <v>120</v>
      </c>
      <c r="E19" s="245" t="s">
        <v>88</v>
      </c>
      <c r="F19" s="246">
        <v>0.41600000000000004</v>
      </c>
      <c r="G19" s="247">
        <v>0.441</v>
      </c>
      <c r="H19" s="248">
        <v>0.47300000000000003</v>
      </c>
      <c r="I19" s="249">
        <v>0.48499999999999999</v>
      </c>
      <c r="J19" s="248">
        <v>0.496</v>
      </c>
      <c r="K19" s="247">
        <v>0.52800000000000002</v>
      </c>
      <c r="L19" s="246">
        <v>0.54900000000000004</v>
      </c>
    </row>
    <row r="20" spans="1:12" ht="15.6" hidden="1" customHeight="1" outlineLevel="1" x14ac:dyDescent="0.25">
      <c r="A20" s="236"/>
      <c r="B20" s="239" t="s">
        <v>20</v>
      </c>
      <c r="C20" s="239" t="s">
        <v>121</v>
      </c>
      <c r="D20" s="239" t="s">
        <v>120</v>
      </c>
      <c r="E20" s="245" t="s">
        <v>89</v>
      </c>
      <c r="F20" s="249"/>
      <c r="G20" s="249"/>
      <c r="H20" s="248">
        <v>1.7000000000000001E-2</v>
      </c>
      <c r="I20" s="249">
        <v>2.1000000000000001E-2</v>
      </c>
      <c r="J20" s="248">
        <v>2.5000000000000001E-2</v>
      </c>
      <c r="K20" s="247">
        <v>3.6999999999999998E-2</v>
      </c>
      <c r="L20" s="246">
        <v>4.9000000000000002E-2</v>
      </c>
    </row>
    <row r="21" spans="1:12" ht="15.6" hidden="1" customHeight="1" outlineLevel="1" x14ac:dyDescent="0.25">
      <c r="A21" s="236"/>
      <c r="B21" s="239" t="s">
        <v>20</v>
      </c>
      <c r="C21" s="239" t="s">
        <v>121</v>
      </c>
      <c r="D21" s="239" t="s">
        <v>120</v>
      </c>
      <c r="E21" s="245" t="s">
        <v>90</v>
      </c>
      <c r="F21" s="249"/>
      <c r="G21" s="249"/>
      <c r="H21" s="248">
        <v>0.13700000000000001</v>
      </c>
      <c r="I21" s="249">
        <v>0.14699999999999999</v>
      </c>
      <c r="J21" s="248">
        <v>0.156</v>
      </c>
      <c r="K21" s="247">
        <v>0.182</v>
      </c>
      <c r="L21" s="246">
        <v>0.20300000000000001</v>
      </c>
    </row>
    <row r="22" spans="1:12" ht="15.6" hidden="1" customHeight="1" outlineLevel="1" x14ac:dyDescent="0.25">
      <c r="A22" s="236"/>
      <c r="B22" s="239" t="s">
        <v>20</v>
      </c>
      <c r="C22" s="239" t="s">
        <v>121</v>
      </c>
      <c r="D22" s="239" t="s">
        <v>120</v>
      </c>
      <c r="E22" s="245" t="s">
        <v>91</v>
      </c>
      <c r="F22" s="249"/>
      <c r="G22" s="249"/>
      <c r="H22" s="249"/>
      <c r="I22" s="249">
        <v>2.1999999999999999E-2</v>
      </c>
      <c r="J22" s="249"/>
      <c r="K22" s="247">
        <v>4.7E-2</v>
      </c>
      <c r="L22" s="246">
        <v>6.9000000000000006E-2</v>
      </c>
    </row>
    <row r="23" spans="1:12" ht="15.6" hidden="1" customHeight="1" outlineLevel="1" x14ac:dyDescent="0.25">
      <c r="A23" s="236"/>
      <c r="B23" s="239" t="s">
        <v>20</v>
      </c>
      <c r="C23" s="239" t="s">
        <v>121</v>
      </c>
      <c r="D23" s="239" t="s">
        <v>120</v>
      </c>
      <c r="E23" s="245" t="s">
        <v>92</v>
      </c>
      <c r="F23" s="249"/>
      <c r="G23" s="249"/>
      <c r="H23" s="249"/>
      <c r="I23" s="249">
        <v>3.3000000000000002E-2</v>
      </c>
      <c r="J23" s="249"/>
      <c r="K23" s="247">
        <v>5.2000000000000005E-2</v>
      </c>
      <c r="L23" s="246">
        <v>6.4000000000000001E-2</v>
      </c>
    </row>
    <row r="24" spans="1:12" ht="15.6" hidden="1" customHeight="1" outlineLevel="1" x14ac:dyDescent="0.25">
      <c r="A24" s="236"/>
      <c r="B24" s="239" t="s">
        <v>20</v>
      </c>
      <c r="C24" s="239" t="s">
        <v>121</v>
      </c>
      <c r="D24" s="239" t="s">
        <v>120</v>
      </c>
      <c r="E24" s="245" t="s">
        <v>93</v>
      </c>
      <c r="F24" s="249"/>
      <c r="G24" s="249"/>
      <c r="H24" s="249"/>
      <c r="I24" s="249">
        <v>7.6999999999999999E-2</v>
      </c>
      <c r="J24" s="249"/>
      <c r="K24" s="247">
        <v>9.9000000000000005E-2</v>
      </c>
      <c r="L24" s="246">
        <v>0.111</v>
      </c>
    </row>
    <row r="25" spans="1:12" ht="15.6" hidden="1" customHeight="1" outlineLevel="1" x14ac:dyDescent="0.25">
      <c r="A25" s="236"/>
      <c r="B25" s="239" t="s">
        <v>20</v>
      </c>
      <c r="C25" s="239" t="s">
        <v>121</v>
      </c>
      <c r="D25" s="239" t="s">
        <v>120</v>
      </c>
      <c r="E25" s="245" t="s">
        <v>94</v>
      </c>
      <c r="F25" s="246">
        <v>0.03</v>
      </c>
      <c r="G25" s="247">
        <v>3.7999999999999999E-2</v>
      </c>
      <c r="H25" s="248">
        <v>5.1000000000000004E-2</v>
      </c>
      <c r="I25" s="249">
        <v>5.6000000000000001E-2</v>
      </c>
      <c r="J25" s="248">
        <v>6.0999999999999999E-2</v>
      </c>
      <c r="K25" s="249"/>
      <c r="L25" s="249"/>
    </row>
    <row r="26" spans="1:12" ht="15.6" hidden="1" customHeight="1" outlineLevel="1" x14ac:dyDescent="0.25">
      <c r="A26" s="236"/>
      <c r="B26" s="239" t="s">
        <v>20</v>
      </c>
      <c r="C26" s="239" t="s">
        <v>121</v>
      </c>
      <c r="D26" s="239" t="s">
        <v>120</v>
      </c>
      <c r="E26" s="245" t="s">
        <v>95</v>
      </c>
      <c r="F26" s="249"/>
      <c r="G26" s="249"/>
      <c r="H26" s="249"/>
      <c r="I26" s="249">
        <v>1.3000000000000001E-2</v>
      </c>
      <c r="J26" s="249"/>
      <c r="K26" s="247">
        <v>1.7000000000000001E-2</v>
      </c>
      <c r="L26" s="246">
        <v>1.9E-2</v>
      </c>
    </row>
    <row r="27" spans="1:12" ht="15.6" hidden="1" customHeight="1" outlineLevel="1" x14ac:dyDescent="0.25">
      <c r="A27" s="236"/>
      <c r="B27" s="239" t="s">
        <v>20</v>
      </c>
      <c r="C27" s="239" t="s">
        <v>121</v>
      </c>
      <c r="D27" s="239" t="s">
        <v>120</v>
      </c>
      <c r="E27" s="245" t="s">
        <v>33</v>
      </c>
      <c r="F27" s="249"/>
      <c r="G27" s="249"/>
      <c r="H27" s="248">
        <v>9.7000000000000003E-2</v>
      </c>
      <c r="I27" s="249">
        <v>0.11</v>
      </c>
      <c r="J27" s="248">
        <v>0.125</v>
      </c>
      <c r="K27" s="247">
        <v>0.153</v>
      </c>
      <c r="L27" s="246">
        <v>0.17699999999999999</v>
      </c>
    </row>
    <row r="28" spans="1:12" ht="15.6" hidden="1" customHeight="1" outlineLevel="1" x14ac:dyDescent="0.25">
      <c r="A28" s="236"/>
      <c r="B28" s="239" t="s">
        <v>20</v>
      </c>
      <c r="C28" s="239" t="s">
        <v>121</v>
      </c>
      <c r="D28" s="239" t="s">
        <v>120</v>
      </c>
      <c r="E28" s="245" t="s">
        <v>4</v>
      </c>
      <c r="F28" s="250">
        <v>17</v>
      </c>
      <c r="G28" s="251">
        <v>18</v>
      </c>
      <c r="H28" s="252">
        <v>19.600000000000001</v>
      </c>
      <c r="I28" s="253">
        <v>20.200000000000003</v>
      </c>
      <c r="J28" s="252">
        <v>20.700000000000003</v>
      </c>
      <c r="K28" s="251">
        <v>22.5</v>
      </c>
      <c r="L28" s="250">
        <v>23.900000000000002</v>
      </c>
    </row>
    <row r="29" spans="1:12" ht="15.6" hidden="1" customHeight="1" outlineLevel="1" x14ac:dyDescent="0.25">
      <c r="A29" s="236"/>
      <c r="B29" s="239" t="s">
        <v>20</v>
      </c>
      <c r="C29" s="239" t="s">
        <v>121</v>
      </c>
      <c r="D29" s="239" t="s">
        <v>120</v>
      </c>
      <c r="E29" s="245" t="s">
        <v>14</v>
      </c>
      <c r="F29" s="250">
        <v>7.9</v>
      </c>
      <c r="G29" s="251">
        <v>8.5</v>
      </c>
      <c r="H29" s="252">
        <v>9.3000000000000007</v>
      </c>
      <c r="I29" s="253">
        <v>9.6000000000000014</v>
      </c>
      <c r="J29" s="252">
        <v>10</v>
      </c>
      <c r="K29" s="251">
        <v>11</v>
      </c>
      <c r="L29" s="250">
        <v>11.8</v>
      </c>
    </row>
    <row r="30" spans="1:12" ht="15.6" hidden="1" customHeight="1" outlineLevel="1" x14ac:dyDescent="0.25">
      <c r="A30" s="236"/>
      <c r="B30" s="239" t="s">
        <v>20</v>
      </c>
      <c r="C30" s="239" t="s">
        <v>121</v>
      </c>
      <c r="D30" s="239" t="s">
        <v>120</v>
      </c>
      <c r="E30" s="245" t="s">
        <v>0</v>
      </c>
      <c r="F30" s="250">
        <v>21.700000000000003</v>
      </c>
      <c r="G30" s="251">
        <v>23.400000000000002</v>
      </c>
      <c r="H30" s="252">
        <v>25.1</v>
      </c>
      <c r="I30" s="253">
        <v>25.8</v>
      </c>
      <c r="J30" s="252">
        <v>26.3</v>
      </c>
      <c r="K30" s="251">
        <v>28.200000000000003</v>
      </c>
      <c r="L30" s="250">
        <v>29.200000000000003</v>
      </c>
    </row>
    <row r="31" spans="1:12" ht="15.6" hidden="1" customHeight="1" outlineLevel="1" x14ac:dyDescent="0.25">
      <c r="A31" s="236"/>
      <c r="B31" s="236"/>
      <c r="C31" s="236"/>
      <c r="D31" s="236"/>
      <c r="E31" s="236"/>
      <c r="F31" s="236"/>
      <c r="G31" s="236"/>
      <c r="H31" s="236"/>
      <c r="I31" s="236"/>
      <c r="J31" s="236"/>
      <c r="K31" s="236"/>
      <c r="L31" s="236"/>
    </row>
    <row r="32" spans="1:12" ht="15.75" collapsed="1" x14ac:dyDescent="0.25">
      <c r="A32" s="254">
        <v>1757</v>
      </c>
      <c r="B32" s="239" t="s">
        <v>20</v>
      </c>
      <c r="C32" s="239" t="s">
        <v>122</v>
      </c>
      <c r="D32" s="239" t="s">
        <v>120</v>
      </c>
      <c r="E32" s="244" t="s">
        <v>189</v>
      </c>
      <c r="F32" s="236"/>
      <c r="G32" s="236"/>
      <c r="H32" s="236"/>
      <c r="I32" s="236"/>
      <c r="J32" s="236"/>
      <c r="K32" s="236"/>
      <c r="L32" s="236"/>
    </row>
    <row r="33" spans="1:12" ht="15.6" hidden="1" customHeight="1" outlineLevel="1" x14ac:dyDescent="0.25">
      <c r="A33" s="236"/>
      <c r="B33" s="239" t="s">
        <v>20</v>
      </c>
      <c r="C33" s="239" t="s">
        <v>122</v>
      </c>
      <c r="D33" s="239" t="s">
        <v>120</v>
      </c>
      <c r="E33" s="245" t="s">
        <v>88</v>
      </c>
      <c r="F33" s="246">
        <v>0.41899999999999998</v>
      </c>
      <c r="G33" s="247">
        <v>0.443</v>
      </c>
      <c r="H33" s="248">
        <v>0.47000000000000003</v>
      </c>
      <c r="I33" s="249">
        <v>0.48099999999999998</v>
      </c>
      <c r="J33" s="248">
        <v>0.49299999999999999</v>
      </c>
      <c r="K33" s="247">
        <v>0.52</v>
      </c>
      <c r="L33" s="246">
        <v>0.54</v>
      </c>
    </row>
    <row r="34" spans="1:12" ht="15.6" hidden="1" customHeight="1" outlineLevel="1" x14ac:dyDescent="0.25">
      <c r="A34" s="236"/>
      <c r="B34" s="239" t="s">
        <v>20</v>
      </c>
      <c r="C34" s="239" t="s">
        <v>122</v>
      </c>
      <c r="D34" s="239" t="s">
        <v>120</v>
      </c>
      <c r="E34" s="245" t="s">
        <v>89</v>
      </c>
      <c r="F34" s="249"/>
      <c r="G34" s="249"/>
      <c r="H34" s="248">
        <v>1.6E-2</v>
      </c>
      <c r="I34" s="249">
        <v>0.02</v>
      </c>
      <c r="J34" s="248">
        <v>2.3E-2</v>
      </c>
      <c r="K34" s="247">
        <v>3.6000000000000004E-2</v>
      </c>
      <c r="L34" s="246">
        <v>4.8000000000000001E-2</v>
      </c>
    </row>
    <row r="35" spans="1:12" ht="15.6" hidden="1" customHeight="1" outlineLevel="1" x14ac:dyDescent="0.25">
      <c r="A35" s="236"/>
      <c r="B35" s="239" t="s">
        <v>20</v>
      </c>
      <c r="C35" s="239" t="s">
        <v>122</v>
      </c>
      <c r="D35" s="239" t="s">
        <v>120</v>
      </c>
      <c r="E35" s="245" t="s">
        <v>90</v>
      </c>
      <c r="F35" s="249"/>
      <c r="G35" s="249"/>
      <c r="H35" s="248">
        <v>0.14599999999999999</v>
      </c>
      <c r="I35" s="249">
        <v>0.156</v>
      </c>
      <c r="J35" s="248">
        <v>0.16600000000000001</v>
      </c>
      <c r="K35" s="247">
        <v>0.19</v>
      </c>
      <c r="L35" s="246">
        <v>0.21299999999999999</v>
      </c>
    </row>
    <row r="36" spans="1:12" ht="15.6" hidden="1" customHeight="1" outlineLevel="1" x14ac:dyDescent="0.25">
      <c r="A36" s="236"/>
      <c r="B36" s="239" t="s">
        <v>20</v>
      </c>
      <c r="C36" s="239" t="s">
        <v>122</v>
      </c>
      <c r="D36" s="239" t="s">
        <v>120</v>
      </c>
      <c r="E36" s="245" t="s">
        <v>91</v>
      </c>
      <c r="F36" s="249"/>
      <c r="G36" s="249"/>
      <c r="H36" s="249"/>
      <c r="I36" s="249">
        <v>2.8000000000000001E-2</v>
      </c>
      <c r="J36" s="249"/>
      <c r="K36" s="247">
        <v>5.6000000000000001E-2</v>
      </c>
      <c r="L36" s="246">
        <v>7.5999999999999998E-2</v>
      </c>
    </row>
    <row r="37" spans="1:12" ht="15.6" hidden="1" customHeight="1" outlineLevel="1" x14ac:dyDescent="0.25">
      <c r="A37" s="236"/>
      <c r="B37" s="239" t="s">
        <v>20</v>
      </c>
      <c r="C37" s="239" t="s">
        <v>122</v>
      </c>
      <c r="D37" s="239" t="s">
        <v>120</v>
      </c>
      <c r="E37" s="245" t="s">
        <v>92</v>
      </c>
      <c r="F37" s="249"/>
      <c r="G37" s="249"/>
      <c r="H37" s="249"/>
      <c r="I37" s="249">
        <v>3.5000000000000003E-2</v>
      </c>
      <c r="J37" s="249"/>
      <c r="K37" s="247">
        <v>5.2999999999999999E-2</v>
      </c>
      <c r="L37" s="246">
        <v>6.6000000000000003E-2</v>
      </c>
    </row>
    <row r="38" spans="1:12" ht="15.6" hidden="1" customHeight="1" outlineLevel="1" x14ac:dyDescent="0.25">
      <c r="A38" s="236"/>
      <c r="B38" s="239" t="s">
        <v>20</v>
      </c>
      <c r="C38" s="239" t="s">
        <v>122</v>
      </c>
      <c r="D38" s="239" t="s">
        <v>120</v>
      </c>
      <c r="E38" s="245" t="s">
        <v>93</v>
      </c>
      <c r="F38" s="249"/>
      <c r="G38" s="249"/>
      <c r="H38" s="249"/>
      <c r="I38" s="249">
        <v>7.2000000000000008E-2</v>
      </c>
      <c r="J38" s="249"/>
      <c r="K38" s="247">
        <v>9.4E-2</v>
      </c>
      <c r="L38" s="246">
        <v>0.106</v>
      </c>
    </row>
    <row r="39" spans="1:12" ht="15.6" hidden="1" customHeight="1" outlineLevel="1" x14ac:dyDescent="0.25">
      <c r="A39" s="236"/>
      <c r="B39" s="239" t="s">
        <v>20</v>
      </c>
      <c r="C39" s="239" t="s">
        <v>122</v>
      </c>
      <c r="D39" s="239" t="s">
        <v>120</v>
      </c>
      <c r="E39" s="245" t="s">
        <v>94</v>
      </c>
      <c r="F39" s="246">
        <v>0.03</v>
      </c>
      <c r="G39" s="247">
        <v>3.7999999999999999E-2</v>
      </c>
      <c r="H39" s="248">
        <v>4.8000000000000001E-2</v>
      </c>
      <c r="I39" s="249">
        <v>5.2999999999999999E-2</v>
      </c>
      <c r="J39" s="248">
        <v>5.9000000000000004E-2</v>
      </c>
      <c r="K39" s="249"/>
      <c r="L39" s="249"/>
    </row>
    <row r="40" spans="1:12" ht="15.6" hidden="1" customHeight="1" outlineLevel="1" x14ac:dyDescent="0.25">
      <c r="A40" s="236"/>
      <c r="B40" s="239" t="s">
        <v>20</v>
      </c>
      <c r="C40" s="239" t="s">
        <v>122</v>
      </c>
      <c r="D40" s="239" t="s">
        <v>120</v>
      </c>
      <c r="E40" s="245" t="s">
        <v>95</v>
      </c>
      <c r="F40" s="249"/>
      <c r="G40" s="249"/>
      <c r="H40" s="249"/>
      <c r="I40" s="249">
        <v>1.2E-2</v>
      </c>
      <c r="J40" s="249"/>
      <c r="K40" s="247">
        <v>1.4999999999999999E-2</v>
      </c>
      <c r="L40" s="246">
        <v>1.7000000000000001E-2</v>
      </c>
    </row>
    <row r="41" spans="1:12" ht="15.6" hidden="1" customHeight="1" outlineLevel="1" x14ac:dyDescent="0.25">
      <c r="A41" s="236"/>
      <c r="B41" s="239" t="s">
        <v>20</v>
      </c>
      <c r="C41" s="239" t="s">
        <v>122</v>
      </c>
      <c r="D41" s="239" t="s">
        <v>120</v>
      </c>
      <c r="E41" s="245" t="s">
        <v>33</v>
      </c>
      <c r="F41" s="249"/>
      <c r="G41" s="249"/>
      <c r="H41" s="248">
        <v>8.7999999999999995E-2</v>
      </c>
      <c r="I41" s="249">
        <v>9.4E-2</v>
      </c>
      <c r="J41" s="248">
        <v>0.10100000000000001</v>
      </c>
      <c r="K41" s="247">
        <v>0.11800000000000001</v>
      </c>
      <c r="L41" s="246">
        <v>0.13700000000000001</v>
      </c>
    </row>
    <row r="42" spans="1:12" ht="15.6" hidden="1" customHeight="1" outlineLevel="1" x14ac:dyDescent="0.25">
      <c r="A42" s="236"/>
      <c r="B42" s="239" t="s">
        <v>20</v>
      </c>
      <c r="C42" s="239" t="s">
        <v>122</v>
      </c>
      <c r="D42" s="239" t="s">
        <v>120</v>
      </c>
      <c r="E42" s="245" t="s">
        <v>4</v>
      </c>
      <c r="F42" s="250">
        <v>19.100000000000001</v>
      </c>
      <c r="G42" s="251">
        <v>20.200000000000003</v>
      </c>
      <c r="H42" s="252">
        <v>21.700000000000003</v>
      </c>
      <c r="I42" s="253">
        <v>22.3</v>
      </c>
      <c r="J42" s="252">
        <v>23</v>
      </c>
      <c r="K42" s="251">
        <v>24.5</v>
      </c>
      <c r="L42" s="250">
        <v>26</v>
      </c>
    </row>
    <row r="43" spans="1:12" ht="15.6" hidden="1" customHeight="1" outlineLevel="1" x14ac:dyDescent="0.25">
      <c r="A43" s="236"/>
      <c r="B43" s="239" t="s">
        <v>20</v>
      </c>
      <c r="C43" s="239" t="s">
        <v>122</v>
      </c>
      <c r="D43" s="239" t="s">
        <v>120</v>
      </c>
      <c r="E43" s="245" t="s">
        <v>14</v>
      </c>
      <c r="F43" s="250">
        <v>8.7000000000000011</v>
      </c>
      <c r="G43" s="251">
        <v>9.3000000000000007</v>
      </c>
      <c r="H43" s="252">
        <v>10.100000000000001</v>
      </c>
      <c r="I43" s="253">
        <v>10.5</v>
      </c>
      <c r="J43" s="252">
        <v>10.9</v>
      </c>
      <c r="K43" s="251">
        <v>11.8</v>
      </c>
      <c r="L43" s="250">
        <v>12.5</v>
      </c>
    </row>
    <row r="44" spans="1:12" ht="15.6" hidden="1" customHeight="1" outlineLevel="1" x14ac:dyDescent="0.25">
      <c r="A44" s="236"/>
      <c r="B44" s="239" t="s">
        <v>20</v>
      </c>
      <c r="C44" s="239" t="s">
        <v>122</v>
      </c>
      <c r="D44" s="239" t="s">
        <v>120</v>
      </c>
      <c r="E44" s="245" t="s">
        <v>0</v>
      </c>
      <c r="F44" s="250">
        <v>25.6</v>
      </c>
      <c r="G44" s="251">
        <v>26.8</v>
      </c>
      <c r="H44" s="252">
        <v>28.400000000000002</v>
      </c>
      <c r="I44" s="253">
        <v>29</v>
      </c>
      <c r="J44" s="252">
        <v>29.5</v>
      </c>
      <c r="K44" s="251">
        <v>30</v>
      </c>
      <c r="L44" s="250">
        <v>30.6</v>
      </c>
    </row>
    <row r="45" spans="1:12" ht="15.6" hidden="1" customHeight="1" outlineLevel="1" x14ac:dyDescent="0.25">
      <c r="A45" s="236"/>
      <c r="B45" s="236"/>
      <c r="C45" s="236"/>
      <c r="D45" s="236"/>
      <c r="E45" s="236"/>
      <c r="F45" s="236"/>
      <c r="G45" s="236"/>
      <c r="H45" s="236"/>
      <c r="I45" s="236"/>
      <c r="J45" s="236"/>
      <c r="K45" s="236"/>
      <c r="L45" s="236"/>
    </row>
    <row r="46" spans="1:12" ht="15.75" collapsed="1" x14ac:dyDescent="0.25">
      <c r="A46" s="237">
        <v>650</v>
      </c>
      <c r="B46" s="239" t="s">
        <v>20</v>
      </c>
      <c r="C46" s="239" t="s">
        <v>123</v>
      </c>
      <c r="D46" s="239" t="s">
        <v>120</v>
      </c>
      <c r="E46" s="244" t="s">
        <v>190</v>
      </c>
      <c r="F46" s="236"/>
      <c r="G46" s="236"/>
      <c r="H46" s="236"/>
      <c r="I46" s="236"/>
      <c r="J46" s="236"/>
      <c r="K46" s="236"/>
      <c r="L46" s="236"/>
    </row>
    <row r="47" spans="1:12" ht="15.6" hidden="1" customHeight="1" outlineLevel="1" x14ac:dyDescent="0.25">
      <c r="A47" s="236"/>
      <c r="B47" s="239" t="s">
        <v>20</v>
      </c>
      <c r="C47" s="239" t="s">
        <v>123</v>
      </c>
      <c r="D47" s="239" t="s">
        <v>120</v>
      </c>
      <c r="E47" s="245" t="s">
        <v>88</v>
      </c>
      <c r="F47" s="246">
        <v>0.434</v>
      </c>
      <c r="G47" s="247">
        <v>0.45300000000000001</v>
      </c>
      <c r="H47" s="248">
        <v>0.48</v>
      </c>
      <c r="I47" s="249">
        <v>0.49099999999999999</v>
      </c>
      <c r="J47" s="248">
        <v>0.502</v>
      </c>
      <c r="K47" s="247">
        <v>0.52500000000000002</v>
      </c>
      <c r="L47" s="246">
        <v>0.54500000000000004</v>
      </c>
    </row>
    <row r="48" spans="1:12" ht="15.6" hidden="1" customHeight="1" outlineLevel="1" x14ac:dyDescent="0.25">
      <c r="A48" s="236"/>
      <c r="B48" s="239" t="s">
        <v>20</v>
      </c>
      <c r="C48" s="239" t="s">
        <v>123</v>
      </c>
      <c r="D48" s="239" t="s">
        <v>120</v>
      </c>
      <c r="E48" s="245" t="s">
        <v>89</v>
      </c>
      <c r="F48" s="249"/>
      <c r="G48" s="249"/>
      <c r="H48" s="248">
        <v>1.4999999999999999E-2</v>
      </c>
      <c r="I48" s="249">
        <v>1.9E-2</v>
      </c>
      <c r="J48" s="248">
        <v>2.1999999999999999E-2</v>
      </c>
      <c r="K48" s="247">
        <v>3.3000000000000002E-2</v>
      </c>
      <c r="L48" s="246">
        <v>4.4999999999999998E-2</v>
      </c>
    </row>
    <row r="49" spans="1:12" ht="15.6" hidden="1" customHeight="1" outlineLevel="1" x14ac:dyDescent="0.25">
      <c r="A49" s="236"/>
      <c r="B49" s="239" t="s">
        <v>20</v>
      </c>
      <c r="C49" s="239" t="s">
        <v>123</v>
      </c>
      <c r="D49" s="239" t="s">
        <v>120</v>
      </c>
      <c r="E49" s="245" t="s">
        <v>90</v>
      </c>
      <c r="F49" s="249"/>
      <c r="G49" s="249"/>
      <c r="H49" s="248">
        <v>0.156</v>
      </c>
      <c r="I49" s="249">
        <v>0.16400000000000001</v>
      </c>
      <c r="J49" s="248">
        <v>0.17400000000000002</v>
      </c>
      <c r="K49" s="247">
        <v>0.19700000000000001</v>
      </c>
      <c r="L49" s="246">
        <v>0.215</v>
      </c>
    </row>
    <row r="50" spans="1:12" ht="15.6" hidden="1" customHeight="1" outlineLevel="1" x14ac:dyDescent="0.25">
      <c r="A50" s="236"/>
      <c r="B50" s="239" t="s">
        <v>20</v>
      </c>
      <c r="C50" s="239" t="s">
        <v>123</v>
      </c>
      <c r="D50" s="239" t="s">
        <v>120</v>
      </c>
      <c r="E50" s="245" t="s">
        <v>91</v>
      </c>
      <c r="F50" s="249"/>
      <c r="G50" s="249"/>
      <c r="H50" s="249"/>
      <c r="I50" s="249">
        <v>0.03</v>
      </c>
      <c r="J50" s="249"/>
      <c r="K50" s="247">
        <v>5.8000000000000003E-2</v>
      </c>
      <c r="L50" s="246">
        <v>7.6999999999999999E-2</v>
      </c>
    </row>
    <row r="51" spans="1:12" ht="15.6" hidden="1" customHeight="1" outlineLevel="1" x14ac:dyDescent="0.25">
      <c r="A51" s="236"/>
      <c r="B51" s="239" t="s">
        <v>20</v>
      </c>
      <c r="C51" s="239" t="s">
        <v>123</v>
      </c>
      <c r="D51" s="239" t="s">
        <v>120</v>
      </c>
      <c r="E51" s="245" t="s">
        <v>92</v>
      </c>
      <c r="F51" s="249"/>
      <c r="G51" s="249"/>
      <c r="H51" s="249"/>
      <c r="I51" s="249">
        <v>3.4000000000000002E-2</v>
      </c>
      <c r="J51" s="249"/>
      <c r="K51" s="247">
        <v>5.2999999999999999E-2</v>
      </c>
      <c r="L51" s="246">
        <v>6.6000000000000003E-2</v>
      </c>
    </row>
    <row r="52" spans="1:12" ht="15.6" hidden="1" customHeight="1" outlineLevel="1" x14ac:dyDescent="0.25">
      <c r="A52" s="236"/>
      <c r="B52" s="239" t="s">
        <v>20</v>
      </c>
      <c r="C52" s="239" t="s">
        <v>123</v>
      </c>
      <c r="D52" s="239" t="s">
        <v>120</v>
      </c>
      <c r="E52" s="245" t="s">
        <v>93</v>
      </c>
      <c r="F52" s="249"/>
      <c r="G52" s="249"/>
      <c r="H52" s="249"/>
      <c r="I52" s="249">
        <v>6.7000000000000004E-2</v>
      </c>
      <c r="J52" s="249"/>
      <c r="K52" s="247">
        <v>8.7999999999999995E-2</v>
      </c>
      <c r="L52" s="246">
        <v>0.10400000000000001</v>
      </c>
    </row>
    <row r="53" spans="1:12" ht="15.6" hidden="1" customHeight="1" outlineLevel="1" x14ac:dyDescent="0.25">
      <c r="A53" s="236"/>
      <c r="B53" s="239" t="s">
        <v>20</v>
      </c>
      <c r="C53" s="239" t="s">
        <v>123</v>
      </c>
      <c r="D53" s="239" t="s">
        <v>120</v>
      </c>
      <c r="E53" s="245" t="s">
        <v>94</v>
      </c>
      <c r="F53" s="246">
        <v>3.2000000000000001E-2</v>
      </c>
      <c r="G53" s="247">
        <v>3.7999999999999999E-2</v>
      </c>
      <c r="H53" s="248">
        <v>4.8000000000000001E-2</v>
      </c>
      <c r="I53" s="249">
        <v>5.2000000000000005E-2</v>
      </c>
      <c r="J53" s="248">
        <v>5.7000000000000002E-2</v>
      </c>
      <c r="K53" s="249"/>
      <c r="L53" s="249"/>
    </row>
    <row r="54" spans="1:12" ht="15.6" hidden="1" customHeight="1" outlineLevel="1" x14ac:dyDescent="0.25">
      <c r="A54" s="236"/>
      <c r="B54" s="239" t="s">
        <v>20</v>
      </c>
      <c r="C54" s="239" t="s">
        <v>123</v>
      </c>
      <c r="D54" s="239" t="s">
        <v>120</v>
      </c>
      <c r="E54" s="245" t="s">
        <v>95</v>
      </c>
      <c r="F54" s="249"/>
      <c r="G54" s="249"/>
      <c r="H54" s="249"/>
      <c r="I54" s="249">
        <v>1.0999999999999999E-2</v>
      </c>
      <c r="J54" s="249"/>
      <c r="K54" s="247">
        <v>1.4E-2</v>
      </c>
      <c r="L54" s="246">
        <v>1.6E-2</v>
      </c>
    </row>
    <row r="55" spans="1:12" ht="15.6" hidden="1" customHeight="1" outlineLevel="1" x14ac:dyDescent="0.25">
      <c r="A55" s="236"/>
      <c r="B55" s="239" t="s">
        <v>20</v>
      </c>
      <c r="C55" s="239" t="s">
        <v>123</v>
      </c>
      <c r="D55" s="239" t="s">
        <v>120</v>
      </c>
      <c r="E55" s="245" t="s">
        <v>33</v>
      </c>
      <c r="F55" s="249"/>
      <c r="G55" s="249"/>
      <c r="H55" s="248">
        <v>6.0999999999999999E-2</v>
      </c>
      <c r="I55" s="249">
        <v>6.7000000000000004E-2</v>
      </c>
      <c r="J55" s="248">
        <v>7.2999999999999995E-2</v>
      </c>
      <c r="K55" s="247">
        <v>8.7000000000000008E-2</v>
      </c>
      <c r="L55" s="246">
        <v>0.10300000000000001</v>
      </c>
    </row>
    <row r="56" spans="1:12" ht="15.6" hidden="1" customHeight="1" outlineLevel="1" x14ac:dyDescent="0.25">
      <c r="A56" s="236"/>
      <c r="B56" s="239" t="s">
        <v>20</v>
      </c>
      <c r="C56" s="239" t="s">
        <v>123</v>
      </c>
      <c r="D56" s="239" t="s">
        <v>120</v>
      </c>
      <c r="E56" s="245" t="s">
        <v>4</v>
      </c>
      <c r="F56" s="250">
        <v>20.100000000000001</v>
      </c>
      <c r="G56" s="251">
        <v>21.200000000000003</v>
      </c>
      <c r="H56" s="252">
        <v>22.700000000000003</v>
      </c>
      <c r="I56" s="253">
        <v>23.3</v>
      </c>
      <c r="J56" s="252">
        <v>23.700000000000003</v>
      </c>
      <c r="K56" s="251">
        <v>25.200000000000003</v>
      </c>
      <c r="L56" s="250">
        <v>26.400000000000002</v>
      </c>
    </row>
    <row r="57" spans="1:12" ht="15.6" hidden="1" customHeight="1" outlineLevel="1" x14ac:dyDescent="0.25">
      <c r="A57" s="236"/>
      <c r="B57" s="239" t="s">
        <v>20</v>
      </c>
      <c r="C57" s="239" t="s">
        <v>123</v>
      </c>
      <c r="D57" s="239" t="s">
        <v>120</v>
      </c>
      <c r="E57" s="245" t="s">
        <v>14</v>
      </c>
      <c r="F57" s="250">
        <v>9.3000000000000007</v>
      </c>
      <c r="G57" s="251">
        <v>9.9</v>
      </c>
      <c r="H57" s="252">
        <v>10.700000000000001</v>
      </c>
      <c r="I57" s="253">
        <v>11</v>
      </c>
      <c r="J57" s="252">
        <v>11.4</v>
      </c>
      <c r="K57" s="251">
        <v>12.3</v>
      </c>
      <c r="L57" s="250">
        <v>13.3</v>
      </c>
    </row>
    <row r="58" spans="1:12" ht="15.6" hidden="1" customHeight="1" outlineLevel="1" x14ac:dyDescent="0.25">
      <c r="A58" s="236"/>
      <c r="B58" s="239" t="s">
        <v>20</v>
      </c>
      <c r="C58" s="239" t="s">
        <v>123</v>
      </c>
      <c r="D58" s="239" t="s">
        <v>120</v>
      </c>
      <c r="E58" s="245" t="s">
        <v>0</v>
      </c>
      <c r="F58" s="250">
        <v>27.6</v>
      </c>
      <c r="G58" s="251">
        <v>28.400000000000002</v>
      </c>
      <c r="H58" s="252">
        <v>29.400000000000002</v>
      </c>
      <c r="I58" s="253">
        <v>29.6</v>
      </c>
      <c r="J58" s="252">
        <v>29.8</v>
      </c>
      <c r="K58" s="251">
        <v>30.1</v>
      </c>
      <c r="L58" s="250">
        <v>30.6</v>
      </c>
    </row>
    <row r="59" spans="1:12" ht="15.6" hidden="1" customHeight="1" outlineLevel="1" x14ac:dyDescent="0.25">
      <c r="A59" s="236"/>
      <c r="B59" s="236"/>
      <c r="C59" s="236"/>
      <c r="D59" s="236"/>
      <c r="E59" s="236"/>
      <c r="F59" s="236"/>
      <c r="G59" s="236"/>
      <c r="H59" s="236"/>
      <c r="I59" s="236"/>
      <c r="J59" s="236"/>
      <c r="K59" s="236"/>
      <c r="L59" s="236"/>
    </row>
    <row r="60" spans="1:12" ht="15.75" collapsed="1" x14ac:dyDescent="0.25">
      <c r="A60" s="237">
        <v>880</v>
      </c>
      <c r="B60" s="239" t="s">
        <v>20</v>
      </c>
      <c r="C60" s="239" t="s">
        <v>119</v>
      </c>
      <c r="D60" s="239" t="s">
        <v>124</v>
      </c>
      <c r="E60" s="244" t="s">
        <v>191</v>
      </c>
      <c r="F60" s="236"/>
      <c r="G60" s="236"/>
      <c r="H60" s="236"/>
      <c r="I60" s="236"/>
      <c r="J60" s="236"/>
      <c r="K60" s="236"/>
      <c r="L60" s="236"/>
    </row>
    <row r="61" spans="1:12" ht="15.6" hidden="1" customHeight="1" outlineLevel="1" x14ac:dyDescent="0.25">
      <c r="A61" s="236"/>
      <c r="B61" s="239" t="s">
        <v>20</v>
      </c>
      <c r="C61" s="239" t="s">
        <v>119</v>
      </c>
      <c r="D61" s="239" t="s">
        <v>124</v>
      </c>
      <c r="E61" s="245" t="s">
        <v>88</v>
      </c>
      <c r="F61" s="246">
        <v>0.39400000000000002</v>
      </c>
      <c r="G61" s="247">
        <v>0.42199999999999999</v>
      </c>
      <c r="H61" s="248">
        <v>0.45700000000000002</v>
      </c>
      <c r="I61" s="249">
        <v>0.47300000000000003</v>
      </c>
      <c r="J61" s="248">
        <v>0.48699999999999999</v>
      </c>
      <c r="K61" s="247">
        <v>0.52300000000000002</v>
      </c>
      <c r="L61" s="246">
        <v>0.55200000000000005</v>
      </c>
    </row>
    <row r="62" spans="1:12" ht="15.6" hidden="1" customHeight="1" outlineLevel="1" x14ac:dyDescent="0.25">
      <c r="A62" s="236"/>
      <c r="B62" s="239" t="s">
        <v>20</v>
      </c>
      <c r="C62" s="239" t="s">
        <v>119</v>
      </c>
      <c r="D62" s="239" t="s">
        <v>124</v>
      </c>
      <c r="E62" s="245" t="s">
        <v>89</v>
      </c>
      <c r="F62" s="249"/>
      <c r="G62" s="249"/>
      <c r="H62" s="248">
        <v>1.6E-2</v>
      </c>
      <c r="I62" s="249">
        <v>2.1000000000000001E-2</v>
      </c>
      <c r="J62" s="248">
        <v>2.6000000000000002E-2</v>
      </c>
      <c r="K62" s="247">
        <v>4.1000000000000002E-2</v>
      </c>
      <c r="L62" s="246">
        <v>5.8000000000000003E-2</v>
      </c>
    </row>
    <row r="63" spans="1:12" ht="15.6" hidden="1" customHeight="1" outlineLevel="1" x14ac:dyDescent="0.25">
      <c r="A63" s="236"/>
      <c r="B63" s="239" t="s">
        <v>20</v>
      </c>
      <c r="C63" s="239" t="s">
        <v>119</v>
      </c>
      <c r="D63" s="239" t="s">
        <v>124</v>
      </c>
      <c r="E63" s="245" t="s">
        <v>90</v>
      </c>
      <c r="F63" s="249"/>
      <c r="G63" s="249"/>
      <c r="H63" s="248">
        <v>0.13300000000000001</v>
      </c>
      <c r="I63" s="249">
        <v>0.14300000000000002</v>
      </c>
      <c r="J63" s="248">
        <v>0.153</v>
      </c>
      <c r="K63" s="247">
        <v>0.17899999999999999</v>
      </c>
      <c r="L63" s="246">
        <v>0.19800000000000001</v>
      </c>
    </row>
    <row r="64" spans="1:12" ht="15.6" hidden="1" customHeight="1" outlineLevel="1" x14ac:dyDescent="0.25">
      <c r="A64" s="236"/>
      <c r="B64" s="239" t="s">
        <v>20</v>
      </c>
      <c r="C64" s="239" t="s">
        <v>119</v>
      </c>
      <c r="D64" s="239" t="s">
        <v>124</v>
      </c>
      <c r="E64" s="245" t="s">
        <v>91</v>
      </c>
      <c r="F64" s="249"/>
      <c r="G64" s="249"/>
      <c r="H64" s="249"/>
      <c r="I64" s="249">
        <v>2.4E-2</v>
      </c>
      <c r="J64" s="249"/>
      <c r="K64" s="247">
        <v>5.8000000000000003E-2</v>
      </c>
      <c r="L64" s="246">
        <v>7.9000000000000001E-2</v>
      </c>
    </row>
    <row r="65" spans="1:12" ht="15.6" hidden="1" customHeight="1" outlineLevel="1" x14ac:dyDescent="0.25">
      <c r="A65" s="236"/>
      <c r="B65" s="239" t="s">
        <v>20</v>
      </c>
      <c r="C65" s="239" t="s">
        <v>119</v>
      </c>
      <c r="D65" s="239" t="s">
        <v>124</v>
      </c>
      <c r="E65" s="245" t="s">
        <v>92</v>
      </c>
      <c r="F65" s="249"/>
      <c r="G65" s="249"/>
      <c r="H65" s="249"/>
      <c r="I65" s="249">
        <v>3.3000000000000002E-2</v>
      </c>
      <c r="J65" s="249"/>
      <c r="K65" s="247">
        <v>5.1000000000000004E-2</v>
      </c>
      <c r="L65" s="246">
        <v>6.6000000000000003E-2</v>
      </c>
    </row>
    <row r="66" spans="1:12" ht="15.6" hidden="1" customHeight="1" outlineLevel="1" x14ac:dyDescent="0.25">
      <c r="A66" s="236"/>
      <c r="B66" s="239" t="s">
        <v>20</v>
      </c>
      <c r="C66" s="239" t="s">
        <v>119</v>
      </c>
      <c r="D66" s="239" t="s">
        <v>124</v>
      </c>
      <c r="E66" s="245" t="s">
        <v>93</v>
      </c>
      <c r="F66" s="249"/>
      <c r="G66" s="249"/>
      <c r="H66" s="249"/>
      <c r="I66" s="249">
        <v>8.1000000000000003E-2</v>
      </c>
      <c r="J66" s="249"/>
      <c r="K66" s="247">
        <v>0.108</v>
      </c>
      <c r="L66" s="246">
        <v>0.121</v>
      </c>
    </row>
    <row r="67" spans="1:12" ht="15.6" hidden="1" customHeight="1" outlineLevel="1" x14ac:dyDescent="0.25">
      <c r="A67" s="236"/>
      <c r="B67" s="239" t="s">
        <v>20</v>
      </c>
      <c r="C67" s="239" t="s">
        <v>119</v>
      </c>
      <c r="D67" s="239" t="s">
        <v>124</v>
      </c>
      <c r="E67" s="245" t="s">
        <v>94</v>
      </c>
      <c r="F67" s="246">
        <v>0.03</v>
      </c>
      <c r="G67" s="247">
        <v>3.9E-2</v>
      </c>
      <c r="H67" s="248">
        <v>5.1000000000000004E-2</v>
      </c>
      <c r="I67" s="249">
        <v>5.6000000000000001E-2</v>
      </c>
      <c r="J67" s="248">
        <v>6.3E-2</v>
      </c>
      <c r="K67" s="249"/>
      <c r="L67" s="249"/>
    </row>
    <row r="68" spans="1:12" ht="15.6" hidden="1" customHeight="1" outlineLevel="1" x14ac:dyDescent="0.25">
      <c r="A68" s="236"/>
      <c r="B68" s="239" t="s">
        <v>20</v>
      </c>
      <c r="C68" s="239" t="s">
        <v>119</v>
      </c>
      <c r="D68" s="239" t="s">
        <v>124</v>
      </c>
      <c r="E68" s="245" t="s">
        <v>95</v>
      </c>
      <c r="F68" s="249"/>
      <c r="G68" s="249"/>
      <c r="H68" s="249"/>
      <c r="I68" s="249">
        <v>1.4E-2</v>
      </c>
      <c r="J68" s="249"/>
      <c r="K68" s="247">
        <v>1.9E-2</v>
      </c>
      <c r="L68" s="246">
        <v>2.1999999999999999E-2</v>
      </c>
    </row>
    <row r="69" spans="1:12" ht="15.6" hidden="1" customHeight="1" outlineLevel="1" x14ac:dyDescent="0.25">
      <c r="A69" s="236"/>
      <c r="B69" s="239" t="s">
        <v>20</v>
      </c>
      <c r="C69" s="239" t="s">
        <v>119</v>
      </c>
      <c r="D69" s="239" t="s">
        <v>124</v>
      </c>
      <c r="E69" s="245" t="s">
        <v>33</v>
      </c>
      <c r="F69" s="249"/>
      <c r="G69" s="249"/>
      <c r="H69" s="248">
        <v>0.105</v>
      </c>
      <c r="I69" s="249">
        <v>0.11800000000000001</v>
      </c>
      <c r="J69" s="248">
        <v>0.13</v>
      </c>
      <c r="K69" s="247">
        <v>0.17100000000000001</v>
      </c>
      <c r="L69" s="246">
        <v>0.20400000000000001</v>
      </c>
    </row>
    <row r="70" spans="1:12" ht="15.6" hidden="1" customHeight="1" outlineLevel="1" x14ac:dyDescent="0.25">
      <c r="A70" s="236"/>
      <c r="B70" s="239" t="s">
        <v>20</v>
      </c>
      <c r="C70" s="239" t="s">
        <v>119</v>
      </c>
      <c r="D70" s="239" t="s">
        <v>124</v>
      </c>
      <c r="E70" s="245" t="s">
        <v>4</v>
      </c>
      <c r="F70" s="250">
        <v>11.8</v>
      </c>
      <c r="G70" s="251">
        <v>13.700000000000001</v>
      </c>
      <c r="H70" s="252">
        <v>15.700000000000001</v>
      </c>
      <c r="I70" s="253">
        <v>16.7</v>
      </c>
      <c r="J70" s="252">
        <v>17.600000000000001</v>
      </c>
      <c r="K70" s="251">
        <v>19.8</v>
      </c>
      <c r="L70" s="250">
        <v>21.6</v>
      </c>
    </row>
    <row r="71" spans="1:12" ht="15.6" hidden="1" customHeight="1" outlineLevel="1" x14ac:dyDescent="0.25">
      <c r="A71" s="236"/>
      <c r="B71" s="239" t="s">
        <v>20</v>
      </c>
      <c r="C71" s="239" t="s">
        <v>119</v>
      </c>
      <c r="D71" s="239" t="s">
        <v>124</v>
      </c>
      <c r="E71" s="245" t="s">
        <v>14</v>
      </c>
      <c r="F71" s="250">
        <v>5.6000000000000005</v>
      </c>
      <c r="G71" s="251">
        <v>6.3000000000000007</v>
      </c>
      <c r="H71" s="252">
        <v>7.3000000000000007</v>
      </c>
      <c r="I71" s="253">
        <v>7.8000000000000007</v>
      </c>
      <c r="J71" s="252">
        <v>8.2000000000000011</v>
      </c>
      <c r="K71" s="251">
        <v>9.2000000000000011</v>
      </c>
      <c r="L71" s="250">
        <v>10</v>
      </c>
    </row>
    <row r="72" spans="1:12" ht="15.6" hidden="1" customHeight="1" outlineLevel="1" x14ac:dyDescent="0.25">
      <c r="A72" s="236"/>
      <c r="B72" s="239" t="s">
        <v>20</v>
      </c>
      <c r="C72" s="239" t="s">
        <v>119</v>
      </c>
      <c r="D72" s="239" t="s">
        <v>124</v>
      </c>
      <c r="E72" s="245" t="s">
        <v>0</v>
      </c>
      <c r="F72" s="250">
        <v>13.5</v>
      </c>
      <c r="G72" s="251">
        <v>16.3</v>
      </c>
      <c r="H72" s="252">
        <v>19.900000000000002</v>
      </c>
      <c r="I72" s="253">
        <v>21</v>
      </c>
      <c r="J72" s="252">
        <v>22</v>
      </c>
      <c r="K72" s="251">
        <v>24</v>
      </c>
      <c r="L72" s="250">
        <v>25.3</v>
      </c>
    </row>
    <row r="73" spans="1:12" ht="15.6" hidden="1" customHeight="1" outlineLevel="1" x14ac:dyDescent="0.25">
      <c r="A73" s="236"/>
      <c r="B73" s="236"/>
      <c r="C73" s="236"/>
      <c r="D73" s="236"/>
      <c r="E73" s="236"/>
      <c r="F73" s="236"/>
      <c r="G73" s="236"/>
      <c r="H73" s="236"/>
      <c r="I73" s="236"/>
      <c r="J73" s="236"/>
      <c r="K73" s="236"/>
      <c r="L73" s="236"/>
    </row>
    <row r="74" spans="1:12" ht="15.75" collapsed="1" x14ac:dyDescent="0.25">
      <c r="A74" s="237">
        <v>994</v>
      </c>
      <c r="B74" s="239" t="s">
        <v>20</v>
      </c>
      <c r="C74" s="239" t="s">
        <v>121</v>
      </c>
      <c r="D74" s="239" t="s">
        <v>124</v>
      </c>
      <c r="E74" s="244" t="s">
        <v>192</v>
      </c>
      <c r="F74" s="236"/>
      <c r="G74" s="236"/>
      <c r="H74" s="236"/>
      <c r="I74" s="236"/>
      <c r="J74" s="236"/>
      <c r="K74" s="236"/>
      <c r="L74" s="236"/>
    </row>
    <row r="75" spans="1:12" ht="15.6" hidden="1" customHeight="1" outlineLevel="1" x14ac:dyDescent="0.25">
      <c r="A75" s="236"/>
      <c r="B75" s="239" t="s">
        <v>20</v>
      </c>
      <c r="C75" s="239" t="s">
        <v>121</v>
      </c>
      <c r="D75" s="239" t="s">
        <v>124</v>
      </c>
      <c r="E75" s="245" t="s">
        <v>88</v>
      </c>
      <c r="F75" s="246">
        <v>0.4</v>
      </c>
      <c r="G75" s="247">
        <v>0.42699999999999999</v>
      </c>
      <c r="H75" s="248">
        <v>0.45700000000000002</v>
      </c>
      <c r="I75" s="249">
        <v>0.46800000000000003</v>
      </c>
      <c r="J75" s="248">
        <v>0.48199999999999998</v>
      </c>
      <c r="K75" s="247">
        <v>0.51100000000000001</v>
      </c>
      <c r="L75" s="246">
        <v>0.53600000000000003</v>
      </c>
    </row>
    <row r="76" spans="1:12" ht="15.6" hidden="1" customHeight="1" outlineLevel="1" x14ac:dyDescent="0.25">
      <c r="A76" s="236"/>
      <c r="B76" s="239" t="s">
        <v>20</v>
      </c>
      <c r="C76" s="239" t="s">
        <v>121</v>
      </c>
      <c r="D76" s="239" t="s">
        <v>124</v>
      </c>
      <c r="E76" s="245" t="s">
        <v>89</v>
      </c>
      <c r="F76" s="249"/>
      <c r="G76" s="249"/>
      <c r="H76" s="248">
        <v>1.7000000000000001E-2</v>
      </c>
      <c r="I76" s="249">
        <v>2.1999999999999999E-2</v>
      </c>
      <c r="J76" s="248">
        <v>2.7E-2</v>
      </c>
      <c r="K76" s="247">
        <v>4.1000000000000002E-2</v>
      </c>
      <c r="L76" s="246">
        <v>5.2999999999999999E-2</v>
      </c>
    </row>
    <row r="77" spans="1:12" ht="15.6" hidden="1" customHeight="1" outlineLevel="1" x14ac:dyDescent="0.25">
      <c r="A77" s="236"/>
      <c r="B77" s="239" t="s">
        <v>20</v>
      </c>
      <c r="C77" s="239" t="s">
        <v>121</v>
      </c>
      <c r="D77" s="239" t="s">
        <v>124</v>
      </c>
      <c r="E77" s="245" t="s">
        <v>90</v>
      </c>
      <c r="F77" s="249"/>
      <c r="G77" s="249"/>
      <c r="H77" s="248">
        <v>0.15</v>
      </c>
      <c r="I77" s="249">
        <v>0.16</v>
      </c>
      <c r="J77" s="248">
        <v>0.17100000000000001</v>
      </c>
      <c r="K77" s="247">
        <v>0.19700000000000001</v>
      </c>
      <c r="L77" s="246">
        <v>0.223</v>
      </c>
    </row>
    <row r="78" spans="1:12" ht="15.6" hidden="1" customHeight="1" outlineLevel="1" x14ac:dyDescent="0.25">
      <c r="A78" s="236"/>
      <c r="B78" s="239" t="s">
        <v>20</v>
      </c>
      <c r="C78" s="239" t="s">
        <v>121</v>
      </c>
      <c r="D78" s="239" t="s">
        <v>124</v>
      </c>
      <c r="E78" s="245" t="s">
        <v>91</v>
      </c>
      <c r="F78" s="249"/>
      <c r="G78" s="249"/>
      <c r="H78" s="249"/>
      <c r="I78" s="249">
        <v>2.8000000000000001E-2</v>
      </c>
      <c r="J78" s="249"/>
      <c r="K78" s="247">
        <v>5.5E-2</v>
      </c>
      <c r="L78" s="246">
        <v>7.4999999999999997E-2</v>
      </c>
    </row>
    <row r="79" spans="1:12" ht="15.6" hidden="1" customHeight="1" outlineLevel="1" x14ac:dyDescent="0.25">
      <c r="A79" s="236"/>
      <c r="B79" s="239" t="s">
        <v>20</v>
      </c>
      <c r="C79" s="239" t="s">
        <v>121</v>
      </c>
      <c r="D79" s="239" t="s">
        <v>124</v>
      </c>
      <c r="E79" s="245" t="s">
        <v>92</v>
      </c>
      <c r="F79" s="249"/>
      <c r="G79" s="249"/>
      <c r="H79" s="249"/>
      <c r="I79" s="249">
        <v>3.5000000000000003E-2</v>
      </c>
      <c r="J79" s="249"/>
      <c r="K79" s="247">
        <v>5.2000000000000005E-2</v>
      </c>
      <c r="L79" s="246">
        <v>6.4000000000000001E-2</v>
      </c>
    </row>
    <row r="80" spans="1:12" ht="15.6" hidden="1" customHeight="1" outlineLevel="1" x14ac:dyDescent="0.25">
      <c r="A80" s="236"/>
      <c r="B80" s="239" t="s">
        <v>20</v>
      </c>
      <c r="C80" s="239" t="s">
        <v>121</v>
      </c>
      <c r="D80" s="239" t="s">
        <v>124</v>
      </c>
      <c r="E80" s="245" t="s">
        <v>93</v>
      </c>
      <c r="F80" s="249"/>
      <c r="G80" s="249"/>
      <c r="H80" s="249"/>
      <c r="I80" s="249">
        <v>7.2999999999999995E-2</v>
      </c>
      <c r="J80" s="249"/>
      <c r="K80" s="247">
        <v>9.8000000000000004E-2</v>
      </c>
      <c r="L80" s="246">
        <v>0.109</v>
      </c>
    </row>
    <row r="81" spans="1:12" ht="15.6" hidden="1" customHeight="1" outlineLevel="1" x14ac:dyDescent="0.25">
      <c r="A81" s="236"/>
      <c r="B81" s="239" t="s">
        <v>20</v>
      </c>
      <c r="C81" s="239" t="s">
        <v>121</v>
      </c>
      <c r="D81" s="239" t="s">
        <v>124</v>
      </c>
      <c r="E81" s="245" t="s">
        <v>94</v>
      </c>
      <c r="F81" s="246">
        <v>3.1E-2</v>
      </c>
      <c r="G81" s="247">
        <v>3.6999999999999998E-2</v>
      </c>
      <c r="H81" s="248">
        <v>4.8000000000000001E-2</v>
      </c>
      <c r="I81" s="249">
        <v>5.2000000000000005E-2</v>
      </c>
      <c r="J81" s="248">
        <v>5.7000000000000002E-2</v>
      </c>
      <c r="K81" s="249"/>
      <c r="L81" s="249"/>
    </row>
    <row r="82" spans="1:12" ht="15.6" hidden="1" customHeight="1" outlineLevel="1" x14ac:dyDescent="0.25">
      <c r="A82" s="236"/>
      <c r="B82" s="239" t="s">
        <v>20</v>
      </c>
      <c r="C82" s="239" t="s">
        <v>121</v>
      </c>
      <c r="D82" s="239" t="s">
        <v>124</v>
      </c>
      <c r="E82" s="245" t="s">
        <v>95</v>
      </c>
      <c r="F82" s="249"/>
      <c r="G82" s="249"/>
      <c r="H82" s="249"/>
      <c r="I82" s="249">
        <v>1.3000000000000001E-2</v>
      </c>
      <c r="J82" s="249"/>
      <c r="K82" s="247">
        <v>1.7000000000000001E-2</v>
      </c>
      <c r="L82" s="246">
        <v>1.9E-2</v>
      </c>
    </row>
    <row r="83" spans="1:12" ht="15.6" hidden="1" customHeight="1" outlineLevel="1" x14ac:dyDescent="0.25">
      <c r="A83" s="236"/>
      <c r="B83" s="239" t="s">
        <v>20</v>
      </c>
      <c r="C83" s="239" t="s">
        <v>121</v>
      </c>
      <c r="D83" s="239" t="s">
        <v>124</v>
      </c>
      <c r="E83" s="245" t="s">
        <v>33</v>
      </c>
      <c r="F83" s="249"/>
      <c r="G83" s="249"/>
      <c r="H83" s="248">
        <v>9.4E-2</v>
      </c>
      <c r="I83" s="249">
        <v>0.10400000000000001</v>
      </c>
      <c r="J83" s="248">
        <v>0.11700000000000001</v>
      </c>
      <c r="K83" s="247">
        <v>0.14499999999999999</v>
      </c>
      <c r="L83" s="246">
        <v>0.16700000000000001</v>
      </c>
    </row>
    <row r="84" spans="1:12" ht="15.6" hidden="1" customHeight="1" outlineLevel="1" x14ac:dyDescent="0.25">
      <c r="A84" s="236"/>
      <c r="B84" s="239" t="s">
        <v>20</v>
      </c>
      <c r="C84" s="239" t="s">
        <v>121</v>
      </c>
      <c r="D84" s="239" t="s">
        <v>124</v>
      </c>
      <c r="E84" s="245" t="s">
        <v>4</v>
      </c>
      <c r="F84" s="250">
        <v>16.5</v>
      </c>
      <c r="G84" s="251">
        <v>17.600000000000001</v>
      </c>
      <c r="H84" s="252">
        <v>19.200000000000003</v>
      </c>
      <c r="I84" s="253">
        <v>20.200000000000003</v>
      </c>
      <c r="J84" s="252">
        <v>20.8</v>
      </c>
      <c r="K84" s="251">
        <v>22.400000000000002</v>
      </c>
      <c r="L84" s="250">
        <v>24</v>
      </c>
    </row>
    <row r="85" spans="1:12" ht="15.6" hidden="1" customHeight="1" outlineLevel="1" x14ac:dyDescent="0.25">
      <c r="A85" s="236"/>
      <c r="B85" s="239" t="s">
        <v>20</v>
      </c>
      <c r="C85" s="239" t="s">
        <v>121</v>
      </c>
      <c r="D85" s="239" t="s">
        <v>124</v>
      </c>
      <c r="E85" s="245" t="s">
        <v>14</v>
      </c>
      <c r="F85" s="250">
        <v>7.1000000000000005</v>
      </c>
      <c r="G85" s="251">
        <v>7.8000000000000007</v>
      </c>
      <c r="H85" s="252">
        <v>8.7000000000000011</v>
      </c>
      <c r="I85" s="253">
        <v>9.1</v>
      </c>
      <c r="J85" s="252">
        <v>9.5</v>
      </c>
      <c r="K85" s="251">
        <v>10.3</v>
      </c>
      <c r="L85" s="250">
        <v>11.200000000000001</v>
      </c>
    </row>
    <row r="86" spans="1:12" ht="15.6" hidden="1" customHeight="1" outlineLevel="1" x14ac:dyDescent="0.25">
      <c r="A86" s="236"/>
      <c r="B86" s="239" t="s">
        <v>20</v>
      </c>
      <c r="C86" s="239" t="s">
        <v>121</v>
      </c>
      <c r="D86" s="239" t="s">
        <v>124</v>
      </c>
      <c r="E86" s="245" t="s">
        <v>0</v>
      </c>
      <c r="F86" s="250">
        <v>21.5</v>
      </c>
      <c r="G86" s="251">
        <v>22.8</v>
      </c>
      <c r="H86" s="252">
        <v>24.8</v>
      </c>
      <c r="I86" s="253">
        <v>25.5</v>
      </c>
      <c r="J86" s="252">
        <v>26.3</v>
      </c>
      <c r="K86" s="251">
        <v>27.8</v>
      </c>
      <c r="L86" s="250">
        <v>28.700000000000003</v>
      </c>
    </row>
    <row r="87" spans="1:12" ht="15.6" hidden="1" customHeight="1" outlineLevel="1" x14ac:dyDescent="0.25">
      <c r="A87" s="236"/>
      <c r="B87" s="236"/>
      <c r="C87" s="236"/>
      <c r="D87" s="236"/>
      <c r="E87" s="236"/>
      <c r="F87" s="236"/>
      <c r="G87" s="236"/>
      <c r="H87" s="236"/>
      <c r="I87" s="236"/>
      <c r="J87" s="236"/>
      <c r="K87" s="236"/>
      <c r="L87" s="236"/>
    </row>
    <row r="88" spans="1:12" ht="15.75" collapsed="1" x14ac:dyDescent="0.25">
      <c r="A88" s="254">
        <v>3735</v>
      </c>
      <c r="B88" s="239" t="s">
        <v>20</v>
      </c>
      <c r="C88" s="239" t="s">
        <v>122</v>
      </c>
      <c r="D88" s="239" t="s">
        <v>124</v>
      </c>
      <c r="E88" s="244" t="s">
        <v>193</v>
      </c>
      <c r="F88" s="236"/>
      <c r="G88" s="236"/>
      <c r="H88" s="236"/>
      <c r="I88" s="236"/>
      <c r="J88" s="236"/>
      <c r="K88" s="236"/>
      <c r="L88" s="236"/>
    </row>
    <row r="89" spans="1:12" ht="15.6" hidden="1" customHeight="1" outlineLevel="1" x14ac:dyDescent="0.25">
      <c r="A89" s="236"/>
      <c r="B89" s="239" t="s">
        <v>20</v>
      </c>
      <c r="C89" s="239" t="s">
        <v>122</v>
      </c>
      <c r="D89" s="239" t="s">
        <v>124</v>
      </c>
      <c r="E89" s="245" t="s">
        <v>88</v>
      </c>
      <c r="F89" s="246">
        <v>0.40500000000000003</v>
      </c>
      <c r="G89" s="247">
        <v>0.42799999999999999</v>
      </c>
      <c r="H89" s="248">
        <v>0.45800000000000002</v>
      </c>
      <c r="I89" s="249">
        <v>0.47000000000000003</v>
      </c>
      <c r="J89" s="248">
        <v>0.48199999999999998</v>
      </c>
      <c r="K89" s="247">
        <v>0.50900000000000001</v>
      </c>
      <c r="L89" s="246">
        <v>0.52900000000000003</v>
      </c>
    </row>
    <row r="90" spans="1:12" ht="15.6" hidden="1" customHeight="1" outlineLevel="1" x14ac:dyDescent="0.25">
      <c r="A90" s="236"/>
      <c r="B90" s="239" t="s">
        <v>20</v>
      </c>
      <c r="C90" s="239" t="s">
        <v>122</v>
      </c>
      <c r="D90" s="239" t="s">
        <v>124</v>
      </c>
      <c r="E90" s="245" t="s">
        <v>89</v>
      </c>
      <c r="F90" s="249"/>
      <c r="G90" s="249"/>
      <c r="H90" s="248">
        <v>1.6E-2</v>
      </c>
      <c r="I90" s="249">
        <v>2.1000000000000001E-2</v>
      </c>
      <c r="J90" s="248">
        <v>2.6000000000000002E-2</v>
      </c>
      <c r="K90" s="247">
        <v>3.9E-2</v>
      </c>
      <c r="L90" s="246">
        <v>5.2999999999999999E-2</v>
      </c>
    </row>
    <row r="91" spans="1:12" ht="15.6" hidden="1" customHeight="1" outlineLevel="1" x14ac:dyDescent="0.25">
      <c r="A91" s="236"/>
      <c r="B91" s="239" t="s">
        <v>20</v>
      </c>
      <c r="C91" s="239" t="s">
        <v>122</v>
      </c>
      <c r="D91" s="239" t="s">
        <v>124</v>
      </c>
      <c r="E91" s="245" t="s">
        <v>90</v>
      </c>
      <c r="F91" s="249"/>
      <c r="G91" s="249"/>
      <c r="H91" s="248">
        <v>0.16400000000000001</v>
      </c>
      <c r="I91" s="249">
        <v>0.17400000000000002</v>
      </c>
      <c r="J91" s="248">
        <v>0.185</v>
      </c>
      <c r="K91" s="247">
        <v>0.21199999999999999</v>
      </c>
      <c r="L91" s="246">
        <v>0.23400000000000001</v>
      </c>
    </row>
    <row r="92" spans="1:12" ht="15.6" hidden="1" customHeight="1" outlineLevel="1" x14ac:dyDescent="0.25">
      <c r="A92" s="236"/>
      <c r="B92" s="239" t="s">
        <v>20</v>
      </c>
      <c r="C92" s="239" t="s">
        <v>122</v>
      </c>
      <c r="D92" s="239" t="s">
        <v>124</v>
      </c>
      <c r="E92" s="245" t="s">
        <v>91</v>
      </c>
      <c r="F92" s="249"/>
      <c r="G92" s="249"/>
      <c r="H92" s="249"/>
      <c r="I92" s="249">
        <v>3.1E-2</v>
      </c>
      <c r="J92" s="249"/>
      <c r="K92" s="247">
        <v>5.8000000000000003E-2</v>
      </c>
      <c r="L92" s="246">
        <v>7.4999999999999997E-2</v>
      </c>
    </row>
    <row r="93" spans="1:12" ht="15.6" hidden="1" customHeight="1" outlineLevel="1" x14ac:dyDescent="0.25">
      <c r="A93" s="236"/>
      <c r="B93" s="239" t="s">
        <v>20</v>
      </c>
      <c r="C93" s="239" t="s">
        <v>122</v>
      </c>
      <c r="D93" s="239" t="s">
        <v>124</v>
      </c>
      <c r="E93" s="245" t="s">
        <v>92</v>
      </c>
      <c r="F93" s="249"/>
      <c r="G93" s="249"/>
      <c r="H93" s="249"/>
      <c r="I93" s="249">
        <v>3.6000000000000004E-2</v>
      </c>
      <c r="J93" s="249"/>
      <c r="K93" s="247">
        <v>5.2000000000000005E-2</v>
      </c>
      <c r="L93" s="246">
        <v>6.4000000000000001E-2</v>
      </c>
    </row>
    <row r="94" spans="1:12" ht="15.6" hidden="1" customHeight="1" outlineLevel="1" x14ac:dyDescent="0.25">
      <c r="A94" s="236"/>
      <c r="B94" s="239" t="s">
        <v>20</v>
      </c>
      <c r="C94" s="239" t="s">
        <v>122</v>
      </c>
      <c r="D94" s="239" t="s">
        <v>124</v>
      </c>
      <c r="E94" s="245" t="s">
        <v>93</v>
      </c>
      <c r="F94" s="249"/>
      <c r="G94" s="249"/>
      <c r="H94" s="249"/>
      <c r="I94" s="249">
        <v>7.0000000000000007E-2</v>
      </c>
      <c r="J94" s="249"/>
      <c r="K94" s="247">
        <v>9.0999999999999998E-2</v>
      </c>
      <c r="L94" s="246">
        <v>0.10300000000000001</v>
      </c>
    </row>
    <row r="95" spans="1:12" ht="15.6" hidden="1" customHeight="1" outlineLevel="1" x14ac:dyDescent="0.25">
      <c r="A95" s="236"/>
      <c r="B95" s="239" t="s">
        <v>20</v>
      </c>
      <c r="C95" s="239" t="s">
        <v>122</v>
      </c>
      <c r="D95" s="239" t="s">
        <v>124</v>
      </c>
      <c r="E95" s="245" t="s">
        <v>94</v>
      </c>
      <c r="F95" s="246">
        <v>2.8000000000000001E-2</v>
      </c>
      <c r="G95" s="247">
        <v>3.5000000000000003E-2</v>
      </c>
      <c r="H95" s="248">
        <v>4.3999999999999997E-2</v>
      </c>
      <c r="I95" s="249">
        <v>4.9000000000000002E-2</v>
      </c>
      <c r="J95" s="248">
        <v>5.3999999999999999E-2</v>
      </c>
      <c r="K95" s="249"/>
      <c r="L95" s="249"/>
    </row>
    <row r="96" spans="1:12" ht="15.6" hidden="1" customHeight="1" outlineLevel="1" x14ac:dyDescent="0.25">
      <c r="A96" s="236"/>
      <c r="B96" s="239" t="s">
        <v>20</v>
      </c>
      <c r="C96" s="239" t="s">
        <v>122</v>
      </c>
      <c r="D96" s="239" t="s">
        <v>124</v>
      </c>
      <c r="E96" s="245" t="s">
        <v>95</v>
      </c>
      <c r="F96" s="249"/>
      <c r="G96" s="249"/>
      <c r="H96" s="249"/>
      <c r="I96" s="249">
        <v>1.2E-2</v>
      </c>
      <c r="J96" s="249"/>
      <c r="K96" s="247">
        <v>1.4999999999999999E-2</v>
      </c>
      <c r="L96" s="246">
        <v>1.7000000000000001E-2</v>
      </c>
    </row>
    <row r="97" spans="1:12" ht="15.6" hidden="1" customHeight="1" outlineLevel="1" x14ac:dyDescent="0.25">
      <c r="A97" s="236"/>
      <c r="B97" s="239" t="s">
        <v>20</v>
      </c>
      <c r="C97" s="239" t="s">
        <v>122</v>
      </c>
      <c r="D97" s="239" t="s">
        <v>124</v>
      </c>
      <c r="E97" s="245" t="s">
        <v>33</v>
      </c>
      <c r="F97" s="249"/>
      <c r="G97" s="249"/>
      <c r="H97" s="248">
        <v>7.9000000000000001E-2</v>
      </c>
      <c r="I97" s="249">
        <v>8.6000000000000007E-2</v>
      </c>
      <c r="J97" s="248">
        <v>9.2999999999999999E-2</v>
      </c>
      <c r="K97" s="247">
        <v>0.112</v>
      </c>
      <c r="L97" s="246">
        <v>0.13</v>
      </c>
    </row>
    <row r="98" spans="1:12" ht="15.6" hidden="1" customHeight="1" outlineLevel="1" x14ac:dyDescent="0.25">
      <c r="A98" s="236"/>
      <c r="B98" s="239" t="s">
        <v>20</v>
      </c>
      <c r="C98" s="239" t="s">
        <v>122</v>
      </c>
      <c r="D98" s="239" t="s">
        <v>124</v>
      </c>
      <c r="E98" s="245" t="s">
        <v>4</v>
      </c>
      <c r="F98" s="250">
        <v>18.2</v>
      </c>
      <c r="G98" s="251">
        <v>19.400000000000002</v>
      </c>
      <c r="H98" s="252">
        <v>20.900000000000002</v>
      </c>
      <c r="I98" s="253">
        <v>21.6</v>
      </c>
      <c r="J98" s="252">
        <v>22.200000000000003</v>
      </c>
      <c r="K98" s="251">
        <v>23.8</v>
      </c>
      <c r="L98" s="250">
        <v>25.1</v>
      </c>
    </row>
    <row r="99" spans="1:12" ht="15.6" hidden="1" customHeight="1" outlineLevel="1" x14ac:dyDescent="0.25">
      <c r="A99" s="236"/>
      <c r="B99" s="239" t="s">
        <v>20</v>
      </c>
      <c r="C99" s="239" t="s">
        <v>122</v>
      </c>
      <c r="D99" s="239" t="s">
        <v>124</v>
      </c>
      <c r="E99" s="245" t="s">
        <v>14</v>
      </c>
      <c r="F99" s="250">
        <v>7.8000000000000007</v>
      </c>
      <c r="G99" s="251">
        <v>8.4</v>
      </c>
      <c r="H99" s="252">
        <v>9.3000000000000007</v>
      </c>
      <c r="I99" s="253">
        <v>9.6000000000000014</v>
      </c>
      <c r="J99" s="252">
        <v>10</v>
      </c>
      <c r="K99" s="251">
        <v>11</v>
      </c>
      <c r="L99" s="250">
        <v>11.700000000000001</v>
      </c>
    </row>
    <row r="100" spans="1:12" ht="15.6" hidden="1" customHeight="1" outlineLevel="1" x14ac:dyDescent="0.25">
      <c r="A100" s="236"/>
      <c r="B100" s="239" t="s">
        <v>20</v>
      </c>
      <c r="C100" s="239" t="s">
        <v>122</v>
      </c>
      <c r="D100" s="239" t="s">
        <v>124</v>
      </c>
      <c r="E100" s="245" t="s">
        <v>0</v>
      </c>
      <c r="F100" s="250">
        <v>24.400000000000002</v>
      </c>
      <c r="G100" s="251">
        <v>25.6</v>
      </c>
      <c r="H100" s="252">
        <v>27.200000000000003</v>
      </c>
      <c r="I100" s="253">
        <v>27.900000000000002</v>
      </c>
      <c r="J100" s="252">
        <v>28.5</v>
      </c>
      <c r="K100" s="251">
        <v>29.6</v>
      </c>
      <c r="L100" s="250">
        <v>30</v>
      </c>
    </row>
    <row r="101" spans="1:12" ht="15.6" hidden="1" customHeight="1" outlineLevel="1" x14ac:dyDescent="0.25">
      <c r="A101" s="236"/>
      <c r="B101" s="236"/>
      <c r="C101" s="236"/>
      <c r="D101" s="236"/>
      <c r="E101" s="236"/>
      <c r="F101" s="236"/>
      <c r="G101" s="236"/>
      <c r="H101" s="236"/>
      <c r="I101" s="236"/>
      <c r="J101" s="236"/>
      <c r="K101" s="236"/>
      <c r="L101" s="236"/>
    </row>
    <row r="102" spans="1:12" ht="15.75" collapsed="1" x14ac:dyDescent="0.25">
      <c r="A102" s="254">
        <v>2027</v>
      </c>
      <c r="B102" s="239" t="s">
        <v>20</v>
      </c>
      <c r="C102" s="239" t="s">
        <v>123</v>
      </c>
      <c r="D102" s="239" t="s">
        <v>124</v>
      </c>
      <c r="E102" s="244" t="s">
        <v>194</v>
      </c>
      <c r="F102" s="236"/>
      <c r="G102" s="236"/>
      <c r="H102" s="236"/>
      <c r="I102" s="236"/>
      <c r="J102" s="236"/>
      <c r="K102" s="236"/>
      <c r="L102" s="236"/>
    </row>
    <row r="103" spans="1:12" ht="15.6" hidden="1" customHeight="1" outlineLevel="1" x14ac:dyDescent="0.25">
      <c r="A103" s="236"/>
      <c r="B103" s="239" t="s">
        <v>20</v>
      </c>
      <c r="C103" s="239" t="s">
        <v>123</v>
      </c>
      <c r="D103" s="239" t="s">
        <v>124</v>
      </c>
      <c r="E103" s="245" t="s">
        <v>88</v>
      </c>
      <c r="F103" s="246">
        <v>0.40400000000000003</v>
      </c>
      <c r="G103" s="247">
        <v>0.42899999999999999</v>
      </c>
      <c r="H103" s="248">
        <v>0.46100000000000002</v>
      </c>
      <c r="I103" s="249">
        <v>0.47200000000000003</v>
      </c>
      <c r="J103" s="248">
        <v>0.48399999999999999</v>
      </c>
      <c r="K103" s="247">
        <v>0.51100000000000001</v>
      </c>
      <c r="L103" s="246">
        <v>0.53200000000000003</v>
      </c>
    </row>
    <row r="104" spans="1:12" ht="15.6" hidden="1" customHeight="1" outlineLevel="1" x14ac:dyDescent="0.25">
      <c r="A104" s="236"/>
      <c r="B104" s="239" t="s">
        <v>20</v>
      </c>
      <c r="C104" s="239" t="s">
        <v>123</v>
      </c>
      <c r="D104" s="239" t="s">
        <v>124</v>
      </c>
      <c r="E104" s="245" t="s">
        <v>89</v>
      </c>
      <c r="F104" s="249"/>
      <c r="G104" s="249"/>
      <c r="H104" s="248">
        <v>1.4999999999999999E-2</v>
      </c>
      <c r="I104" s="249">
        <v>1.9E-2</v>
      </c>
      <c r="J104" s="248">
        <v>2.5000000000000001E-2</v>
      </c>
      <c r="K104" s="247">
        <v>3.9E-2</v>
      </c>
      <c r="L104" s="246">
        <v>5.2999999999999999E-2</v>
      </c>
    </row>
    <row r="105" spans="1:12" ht="15.6" hidden="1" customHeight="1" outlineLevel="1" x14ac:dyDescent="0.25">
      <c r="A105" s="236"/>
      <c r="B105" s="239" t="s">
        <v>20</v>
      </c>
      <c r="C105" s="239" t="s">
        <v>123</v>
      </c>
      <c r="D105" s="239" t="s">
        <v>124</v>
      </c>
      <c r="E105" s="245" t="s">
        <v>90</v>
      </c>
      <c r="F105" s="249"/>
      <c r="G105" s="249"/>
      <c r="H105" s="248">
        <v>0.17599999999999999</v>
      </c>
      <c r="I105" s="249">
        <v>0.186</v>
      </c>
      <c r="J105" s="248">
        <v>0.19800000000000001</v>
      </c>
      <c r="K105" s="247">
        <v>0.224</v>
      </c>
      <c r="L105" s="246">
        <v>0.246</v>
      </c>
    </row>
    <row r="106" spans="1:12" ht="15.6" hidden="1" customHeight="1" outlineLevel="1" x14ac:dyDescent="0.25">
      <c r="A106" s="236"/>
      <c r="B106" s="239" t="s">
        <v>20</v>
      </c>
      <c r="C106" s="239" t="s">
        <v>123</v>
      </c>
      <c r="D106" s="239" t="s">
        <v>124</v>
      </c>
      <c r="E106" s="245" t="s">
        <v>91</v>
      </c>
      <c r="F106" s="249"/>
      <c r="G106" s="249"/>
      <c r="H106" s="249"/>
      <c r="I106" s="249">
        <v>3.2000000000000001E-2</v>
      </c>
      <c r="J106" s="249"/>
      <c r="K106" s="247">
        <v>5.7000000000000002E-2</v>
      </c>
      <c r="L106" s="246">
        <v>7.5999999999999998E-2</v>
      </c>
    </row>
    <row r="107" spans="1:12" ht="15.6" hidden="1" customHeight="1" outlineLevel="1" x14ac:dyDescent="0.25">
      <c r="A107" s="236"/>
      <c r="B107" s="239" t="s">
        <v>20</v>
      </c>
      <c r="C107" s="239" t="s">
        <v>123</v>
      </c>
      <c r="D107" s="239" t="s">
        <v>124</v>
      </c>
      <c r="E107" s="245" t="s">
        <v>92</v>
      </c>
      <c r="F107" s="249"/>
      <c r="G107" s="249"/>
      <c r="H107" s="249"/>
      <c r="I107" s="249">
        <v>3.4000000000000002E-2</v>
      </c>
      <c r="J107" s="249"/>
      <c r="K107" s="247">
        <v>5.1000000000000004E-2</v>
      </c>
      <c r="L107" s="246">
        <v>6.3E-2</v>
      </c>
    </row>
    <row r="108" spans="1:12" ht="15.6" hidden="1" customHeight="1" outlineLevel="1" x14ac:dyDescent="0.25">
      <c r="A108" s="236"/>
      <c r="B108" s="239" t="s">
        <v>20</v>
      </c>
      <c r="C108" s="239" t="s">
        <v>123</v>
      </c>
      <c r="D108" s="239" t="s">
        <v>124</v>
      </c>
      <c r="E108" s="245" t="s">
        <v>93</v>
      </c>
      <c r="F108" s="249"/>
      <c r="G108" s="249"/>
      <c r="H108" s="249"/>
      <c r="I108" s="249">
        <v>6.6000000000000003E-2</v>
      </c>
      <c r="J108" s="249"/>
      <c r="K108" s="247">
        <v>8.5000000000000006E-2</v>
      </c>
      <c r="L108" s="246">
        <v>9.9000000000000005E-2</v>
      </c>
    </row>
    <row r="109" spans="1:12" ht="15.6" hidden="1" customHeight="1" outlineLevel="1" x14ac:dyDescent="0.25">
      <c r="A109" s="236"/>
      <c r="B109" s="239" t="s">
        <v>20</v>
      </c>
      <c r="C109" s="239" t="s">
        <v>123</v>
      </c>
      <c r="D109" s="239" t="s">
        <v>124</v>
      </c>
      <c r="E109" s="245" t="s">
        <v>94</v>
      </c>
      <c r="F109" s="246">
        <v>2.8000000000000001E-2</v>
      </c>
      <c r="G109" s="247">
        <v>3.4000000000000002E-2</v>
      </c>
      <c r="H109" s="248">
        <v>4.2000000000000003E-2</v>
      </c>
      <c r="I109" s="249">
        <v>4.5999999999999999E-2</v>
      </c>
      <c r="J109" s="248">
        <v>0.05</v>
      </c>
      <c r="K109" s="249"/>
      <c r="L109" s="249"/>
    </row>
    <row r="110" spans="1:12" ht="15.6" hidden="1" customHeight="1" outlineLevel="1" x14ac:dyDescent="0.25">
      <c r="A110" s="236"/>
      <c r="B110" s="239" t="s">
        <v>20</v>
      </c>
      <c r="C110" s="239" t="s">
        <v>123</v>
      </c>
      <c r="D110" s="239" t="s">
        <v>124</v>
      </c>
      <c r="E110" s="245" t="s">
        <v>95</v>
      </c>
      <c r="F110" s="249"/>
      <c r="G110" s="249"/>
      <c r="H110" s="249"/>
      <c r="I110" s="249">
        <v>1.0999999999999999E-2</v>
      </c>
      <c r="J110" s="249"/>
      <c r="K110" s="247">
        <v>1.4E-2</v>
      </c>
      <c r="L110" s="246">
        <v>1.6E-2</v>
      </c>
    </row>
    <row r="111" spans="1:12" ht="15.6" hidden="1" customHeight="1" outlineLevel="1" x14ac:dyDescent="0.25">
      <c r="A111" s="236"/>
      <c r="B111" s="239" t="s">
        <v>20</v>
      </c>
      <c r="C111" s="239" t="s">
        <v>123</v>
      </c>
      <c r="D111" s="239" t="s">
        <v>124</v>
      </c>
      <c r="E111" s="245" t="s">
        <v>33</v>
      </c>
      <c r="F111" s="249"/>
      <c r="G111" s="249"/>
      <c r="H111" s="248">
        <v>6.3E-2</v>
      </c>
      <c r="I111" s="249">
        <v>6.9000000000000006E-2</v>
      </c>
      <c r="J111" s="248">
        <v>7.4999999999999997E-2</v>
      </c>
      <c r="K111" s="247">
        <v>9.2999999999999999E-2</v>
      </c>
      <c r="L111" s="246">
        <v>0.105</v>
      </c>
    </row>
    <row r="112" spans="1:12" ht="15.6" hidden="1" customHeight="1" outlineLevel="1" x14ac:dyDescent="0.25">
      <c r="A112" s="236"/>
      <c r="B112" s="239" t="s">
        <v>20</v>
      </c>
      <c r="C112" s="239" t="s">
        <v>123</v>
      </c>
      <c r="D112" s="239" t="s">
        <v>124</v>
      </c>
      <c r="E112" s="245" t="s">
        <v>4</v>
      </c>
      <c r="F112" s="250">
        <v>18.8</v>
      </c>
      <c r="G112" s="251">
        <v>19.8</v>
      </c>
      <c r="H112" s="252">
        <v>21.3</v>
      </c>
      <c r="I112" s="253">
        <v>21.900000000000002</v>
      </c>
      <c r="J112" s="252">
        <v>22.5</v>
      </c>
      <c r="K112" s="251">
        <v>23.900000000000002</v>
      </c>
      <c r="L112" s="250">
        <v>25.200000000000003</v>
      </c>
    </row>
    <row r="113" spans="1:12" ht="15.6" hidden="1" customHeight="1" outlineLevel="1" x14ac:dyDescent="0.25">
      <c r="A113" s="236"/>
      <c r="B113" s="239" t="s">
        <v>20</v>
      </c>
      <c r="C113" s="239" t="s">
        <v>123</v>
      </c>
      <c r="D113" s="239" t="s">
        <v>124</v>
      </c>
      <c r="E113" s="245" t="s">
        <v>14</v>
      </c>
      <c r="F113" s="250">
        <v>8</v>
      </c>
      <c r="G113" s="251">
        <v>8.7000000000000011</v>
      </c>
      <c r="H113" s="252">
        <v>9.4</v>
      </c>
      <c r="I113" s="253">
        <v>9.8000000000000007</v>
      </c>
      <c r="J113" s="252">
        <v>10.200000000000001</v>
      </c>
      <c r="K113" s="251">
        <v>11.100000000000001</v>
      </c>
      <c r="L113" s="250">
        <v>11.8</v>
      </c>
    </row>
    <row r="114" spans="1:12" ht="15.6" hidden="1" customHeight="1" outlineLevel="1" x14ac:dyDescent="0.25">
      <c r="A114" s="236"/>
      <c r="B114" s="239" t="s">
        <v>20</v>
      </c>
      <c r="C114" s="239" t="s">
        <v>123</v>
      </c>
      <c r="D114" s="239" t="s">
        <v>124</v>
      </c>
      <c r="E114" s="245" t="s">
        <v>0</v>
      </c>
      <c r="F114" s="250">
        <v>26.1</v>
      </c>
      <c r="G114" s="251">
        <v>27.1</v>
      </c>
      <c r="H114" s="252">
        <v>28.3</v>
      </c>
      <c r="I114" s="253">
        <v>28.8</v>
      </c>
      <c r="J114" s="252">
        <v>29.1</v>
      </c>
      <c r="K114" s="251">
        <v>29.8</v>
      </c>
      <c r="L114" s="250">
        <v>30.1</v>
      </c>
    </row>
    <row r="115" spans="1:12" ht="15.6" hidden="1" customHeight="1" outlineLevel="1" x14ac:dyDescent="0.25">
      <c r="A115" s="236"/>
      <c r="B115" s="236"/>
      <c r="C115" s="236"/>
      <c r="D115" s="236"/>
      <c r="E115" s="236"/>
      <c r="F115" s="236"/>
      <c r="G115" s="236"/>
      <c r="H115" s="236"/>
      <c r="I115" s="236"/>
      <c r="J115" s="236"/>
      <c r="K115" s="236"/>
      <c r="L115" s="236"/>
    </row>
    <row r="116" spans="1:12" ht="15.75" collapsed="1" x14ac:dyDescent="0.25">
      <c r="A116" s="237">
        <v>214</v>
      </c>
      <c r="B116" s="239" t="s">
        <v>20</v>
      </c>
      <c r="C116" s="239" t="s">
        <v>119</v>
      </c>
      <c r="D116" s="239" t="s">
        <v>125</v>
      </c>
      <c r="E116" s="244" t="s">
        <v>196</v>
      </c>
      <c r="F116" s="236"/>
      <c r="G116" s="236"/>
      <c r="H116" s="236"/>
      <c r="I116" s="236"/>
      <c r="J116" s="236"/>
      <c r="K116" s="236"/>
      <c r="L116" s="236"/>
    </row>
    <row r="117" spans="1:12" ht="15.6" hidden="1" customHeight="1" outlineLevel="1" x14ac:dyDescent="0.25">
      <c r="A117" s="236"/>
      <c r="B117" s="239" t="s">
        <v>20</v>
      </c>
      <c r="C117" s="239" t="s">
        <v>119</v>
      </c>
      <c r="D117" s="239" t="s">
        <v>125</v>
      </c>
      <c r="E117" s="245" t="s">
        <v>88</v>
      </c>
      <c r="F117" s="246">
        <v>0.36799999999999999</v>
      </c>
      <c r="G117" s="247">
        <v>0.39500000000000002</v>
      </c>
      <c r="H117" s="248">
        <v>0.432</v>
      </c>
      <c r="I117" s="249">
        <v>0.44600000000000001</v>
      </c>
      <c r="J117" s="248">
        <v>0.46500000000000002</v>
      </c>
      <c r="K117" s="247">
        <v>0.50700000000000001</v>
      </c>
      <c r="L117" s="246">
        <v>0.53500000000000003</v>
      </c>
    </row>
    <row r="118" spans="1:12" ht="15.6" hidden="1" customHeight="1" outlineLevel="1" x14ac:dyDescent="0.25">
      <c r="A118" s="236"/>
      <c r="B118" s="239" t="s">
        <v>20</v>
      </c>
      <c r="C118" s="239" t="s">
        <v>119</v>
      </c>
      <c r="D118" s="239" t="s">
        <v>125</v>
      </c>
      <c r="E118" s="245" t="s">
        <v>89</v>
      </c>
      <c r="F118" s="249"/>
      <c r="G118" s="249"/>
      <c r="H118" s="248">
        <v>1.7000000000000001E-2</v>
      </c>
      <c r="I118" s="249">
        <v>2.1999999999999999E-2</v>
      </c>
      <c r="J118" s="248">
        <v>3.1E-2</v>
      </c>
      <c r="K118" s="247">
        <v>0.05</v>
      </c>
      <c r="L118" s="246">
        <v>7.3999999999999996E-2</v>
      </c>
    </row>
    <row r="119" spans="1:12" ht="15.6" hidden="1" customHeight="1" outlineLevel="1" x14ac:dyDescent="0.25">
      <c r="A119" s="236"/>
      <c r="B119" s="239" t="s">
        <v>20</v>
      </c>
      <c r="C119" s="239" t="s">
        <v>119</v>
      </c>
      <c r="D119" s="239" t="s">
        <v>125</v>
      </c>
      <c r="E119" s="245" t="s">
        <v>90</v>
      </c>
      <c r="F119" s="249"/>
      <c r="G119" s="249"/>
      <c r="H119" s="248">
        <v>0.14100000000000001</v>
      </c>
      <c r="I119" s="249">
        <v>0.153</v>
      </c>
      <c r="J119" s="248">
        <v>0.16700000000000001</v>
      </c>
      <c r="K119" s="247">
        <v>0.19500000000000001</v>
      </c>
      <c r="L119" s="246">
        <v>0.22500000000000001</v>
      </c>
    </row>
    <row r="120" spans="1:12" ht="15.6" hidden="1" customHeight="1" outlineLevel="1" x14ac:dyDescent="0.25">
      <c r="A120" s="236"/>
      <c r="B120" s="239" t="s">
        <v>20</v>
      </c>
      <c r="C120" s="239" t="s">
        <v>119</v>
      </c>
      <c r="D120" s="239" t="s">
        <v>125</v>
      </c>
      <c r="E120" s="245" t="s">
        <v>91</v>
      </c>
      <c r="F120" s="249"/>
      <c r="G120" s="249"/>
      <c r="H120" s="249"/>
      <c r="I120" s="249">
        <v>2.9000000000000001E-2</v>
      </c>
      <c r="J120" s="249"/>
      <c r="K120" s="247">
        <v>0.06</v>
      </c>
      <c r="L120" s="246">
        <v>7.4999999999999997E-2</v>
      </c>
    </row>
    <row r="121" spans="1:12" ht="15.6" hidden="1" customHeight="1" outlineLevel="1" x14ac:dyDescent="0.25">
      <c r="A121" s="236"/>
      <c r="B121" s="239" t="s">
        <v>20</v>
      </c>
      <c r="C121" s="239" t="s">
        <v>119</v>
      </c>
      <c r="D121" s="239" t="s">
        <v>125</v>
      </c>
      <c r="E121" s="245" t="s">
        <v>92</v>
      </c>
      <c r="F121" s="249"/>
      <c r="G121" s="249"/>
      <c r="H121" s="249"/>
      <c r="I121" s="249">
        <v>3.6000000000000004E-2</v>
      </c>
      <c r="J121" s="249"/>
      <c r="K121" s="247">
        <v>5.7000000000000002E-2</v>
      </c>
      <c r="L121" s="246">
        <v>7.6999999999999999E-2</v>
      </c>
    </row>
    <row r="122" spans="1:12" ht="15.6" hidden="1" customHeight="1" outlineLevel="1" x14ac:dyDescent="0.25">
      <c r="A122" s="236"/>
      <c r="B122" s="239" t="s">
        <v>20</v>
      </c>
      <c r="C122" s="239" t="s">
        <v>119</v>
      </c>
      <c r="D122" s="239" t="s">
        <v>125</v>
      </c>
      <c r="E122" s="245" t="s">
        <v>93</v>
      </c>
      <c r="F122" s="249"/>
      <c r="G122" s="249"/>
      <c r="H122" s="249"/>
      <c r="I122" s="249">
        <v>7.4999999999999997E-2</v>
      </c>
      <c r="J122" s="249"/>
      <c r="K122" s="247">
        <v>0.105</v>
      </c>
      <c r="L122" s="246">
        <v>0.124</v>
      </c>
    </row>
    <row r="123" spans="1:12" ht="15.6" hidden="1" customHeight="1" outlineLevel="1" x14ac:dyDescent="0.25">
      <c r="A123" s="236"/>
      <c r="B123" s="239" t="s">
        <v>20</v>
      </c>
      <c r="C123" s="239" t="s">
        <v>119</v>
      </c>
      <c r="D123" s="239" t="s">
        <v>125</v>
      </c>
      <c r="E123" s="245" t="s">
        <v>94</v>
      </c>
      <c r="F123" s="246">
        <v>2.8000000000000001E-2</v>
      </c>
      <c r="G123" s="247">
        <v>3.6000000000000004E-2</v>
      </c>
      <c r="H123" s="248">
        <v>4.7E-2</v>
      </c>
      <c r="I123" s="249">
        <v>5.2999999999999999E-2</v>
      </c>
      <c r="J123" s="248">
        <v>5.7000000000000002E-2</v>
      </c>
      <c r="K123" s="249"/>
      <c r="L123" s="249"/>
    </row>
    <row r="124" spans="1:12" ht="15.6" hidden="1" customHeight="1" outlineLevel="1" x14ac:dyDescent="0.25">
      <c r="A124" s="236"/>
      <c r="B124" s="239" t="s">
        <v>20</v>
      </c>
      <c r="C124" s="239" t="s">
        <v>119</v>
      </c>
      <c r="D124" s="239" t="s">
        <v>125</v>
      </c>
      <c r="E124" s="245" t="s">
        <v>95</v>
      </c>
      <c r="F124" s="249"/>
      <c r="G124" s="249"/>
      <c r="H124" s="249"/>
      <c r="I124" s="249">
        <v>1.6E-2</v>
      </c>
      <c r="J124" s="249"/>
      <c r="K124" s="247">
        <v>2.1000000000000001E-2</v>
      </c>
      <c r="L124" s="246">
        <v>2.4E-2</v>
      </c>
    </row>
    <row r="125" spans="1:12" ht="15.6" hidden="1" customHeight="1" outlineLevel="1" x14ac:dyDescent="0.25">
      <c r="A125" s="236"/>
      <c r="B125" s="239" t="s">
        <v>20</v>
      </c>
      <c r="C125" s="239" t="s">
        <v>119</v>
      </c>
      <c r="D125" s="239" t="s">
        <v>125</v>
      </c>
      <c r="E125" s="245" t="s">
        <v>33</v>
      </c>
      <c r="F125" s="249"/>
      <c r="G125" s="249"/>
      <c r="H125" s="248">
        <v>0.106</v>
      </c>
      <c r="I125" s="249">
        <v>0.12</v>
      </c>
      <c r="J125" s="248">
        <v>0.13600000000000001</v>
      </c>
      <c r="K125" s="247">
        <v>0.17</v>
      </c>
      <c r="L125" s="246">
        <v>0.2</v>
      </c>
    </row>
    <row r="126" spans="1:12" ht="15.6" hidden="1" customHeight="1" outlineLevel="1" x14ac:dyDescent="0.25">
      <c r="A126" s="236"/>
      <c r="B126" s="239" t="s">
        <v>20</v>
      </c>
      <c r="C126" s="239" t="s">
        <v>119</v>
      </c>
      <c r="D126" s="239" t="s">
        <v>125</v>
      </c>
      <c r="E126" s="245" t="s">
        <v>4</v>
      </c>
      <c r="F126" s="250">
        <v>10.3</v>
      </c>
      <c r="G126" s="251">
        <v>12.8</v>
      </c>
      <c r="H126" s="252">
        <v>14.8</v>
      </c>
      <c r="I126" s="253">
        <v>15.700000000000001</v>
      </c>
      <c r="J126" s="252">
        <v>16.7</v>
      </c>
      <c r="K126" s="251">
        <v>19.100000000000001</v>
      </c>
      <c r="L126" s="250">
        <v>21.5</v>
      </c>
    </row>
    <row r="127" spans="1:12" ht="15.6" hidden="1" customHeight="1" outlineLevel="1" x14ac:dyDescent="0.25">
      <c r="A127" s="236"/>
      <c r="B127" s="239" t="s">
        <v>20</v>
      </c>
      <c r="C127" s="239" t="s">
        <v>119</v>
      </c>
      <c r="D127" s="239" t="s">
        <v>125</v>
      </c>
      <c r="E127" s="245" t="s">
        <v>14</v>
      </c>
      <c r="F127" s="250">
        <v>4.7</v>
      </c>
      <c r="G127" s="251">
        <v>5.3000000000000007</v>
      </c>
      <c r="H127" s="252">
        <v>6.3000000000000007</v>
      </c>
      <c r="I127" s="253">
        <v>6.8000000000000007</v>
      </c>
      <c r="J127" s="252">
        <v>7.2</v>
      </c>
      <c r="K127" s="251">
        <v>8.4</v>
      </c>
      <c r="L127" s="250">
        <v>9.4</v>
      </c>
    </row>
    <row r="128" spans="1:12" ht="15.6" hidden="1" customHeight="1" outlineLevel="1" x14ac:dyDescent="0.25">
      <c r="A128" s="236"/>
      <c r="B128" s="239" t="s">
        <v>20</v>
      </c>
      <c r="C128" s="239" t="s">
        <v>119</v>
      </c>
      <c r="D128" s="239" t="s">
        <v>125</v>
      </c>
      <c r="E128" s="245" t="s">
        <v>0</v>
      </c>
      <c r="F128" s="250">
        <v>12.3</v>
      </c>
      <c r="G128" s="251">
        <v>15</v>
      </c>
      <c r="H128" s="252">
        <v>18</v>
      </c>
      <c r="I128" s="253">
        <v>19.3</v>
      </c>
      <c r="J128" s="252">
        <v>21</v>
      </c>
      <c r="K128" s="251">
        <v>24</v>
      </c>
      <c r="L128" s="250">
        <v>25.900000000000002</v>
      </c>
    </row>
    <row r="129" spans="1:12" ht="15.6" hidden="1" customHeight="1" outlineLevel="1" x14ac:dyDescent="0.25">
      <c r="A129" s="236"/>
      <c r="B129" s="236"/>
      <c r="C129" s="236"/>
      <c r="D129" s="236"/>
      <c r="E129" s="236"/>
      <c r="F129" s="236"/>
      <c r="G129" s="236"/>
      <c r="H129" s="236"/>
      <c r="I129" s="236"/>
      <c r="J129" s="236"/>
      <c r="K129" s="236"/>
      <c r="L129" s="236"/>
    </row>
    <row r="130" spans="1:12" ht="15.75" collapsed="1" x14ac:dyDescent="0.25">
      <c r="A130" s="237">
        <v>370</v>
      </c>
      <c r="B130" s="239" t="s">
        <v>20</v>
      </c>
      <c r="C130" s="239" t="s">
        <v>121</v>
      </c>
      <c r="D130" s="239" t="s">
        <v>125</v>
      </c>
      <c r="E130" s="244" t="s">
        <v>195</v>
      </c>
      <c r="F130" s="236"/>
      <c r="G130" s="236"/>
      <c r="H130" s="236"/>
      <c r="I130" s="236"/>
      <c r="J130" s="236"/>
      <c r="K130" s="236"/>
      <c r="L130" s="236"/>
    </row>
    <row r="131" spans="1:12" ht="15.6" hidden="1" customHeight="1" outlineLevel="1" x14ac:dyDescent="0.25">
      <c r="A131" s="236"/>
      <c r="B131" s="239" t="s">
        <v>20</v>
      </c>
      <c r="C131" s="239" t="s">
        <v>121</v>
      </c>
      <c r="D131" s="239" t="s">
        <v>125</v>
      </c>
      <c r="E131" s="245" t="s">
        <v>88</v>
      </c>
      <c r="F131" s="246">
        <v>0.38300000000000001</v>
      </c>
      <c r="G131" s="247">
        <v>0.41100000000000003</v>
      </c>
      <c r="H131" s="248">
        <v>0.441</v>
      </c>
      <c r="I131" s="249">
        <v>0.45600000000000002</v>
      </c>
      <c r="J131" s="248">
        <v>0.47300000000000003</v>
      </c>
      <c r="K131" s="247">
        <v>0.502</v>
      </c>
      <c r="L131" s="246">
        <v>0.52100000000000002</v>
      </c>
    </row>
    <row r="132" spans="1:12" ht="15.6" hidden="1" customHeight="1" outlineLevel="1" x14ac:dyDescent="0.25">
      <c r="A132" s="236"/>
      <c r="B132" s="239" t="s">
        <v>20</v>
      </c>
      <c r="C132" s="239" t="s">
        <v>121</v>
      </c>
      <c r="D132" s="239" t="s">
        <v>125</v>
      </c>
      <c r="E132" s="245" t="s">
        <v>89</v>
      </c>
      <c r="F132" s="249"/>
      <c r="G132" s="249"/>
      <c r="H132" s="248">
        <v>1.9E-2</v>
      </c>
      <c r="I132" s="249">
        <v>2.5000000000000001E-2</v>
      </c>
      <c r="J132" s="248">
        <v>3.1E-2</v>
      </c>
      <c r="K132" s="247">
        <v>4.9000000000000002E-2</v>
      </c>
      <c r="L132" s="246">
        <v>6.3E-2</v>
      </c>
    </row>
    <row r="133" spans="1:12" ht="15.6" hidden="1" customHeight="1" outlineLevel="1" x14ac:dyDescent="0.25">
      <c r="A133" s="236"/>
      <c r="B133" s="239" t="s">
        <v>20</v>
      </c>
      <c r="C133" s="239" t="s">
        <v>121</v>
      </c>
      <c r="D133" s="239" t="s">
        <v>125</v>
      </c>
      <c r="E133" s="245" t="s">
        <v>90</v>
      </c>
      <c r="F133" s="249"/>
      <c r="G133" s="249"/>
      <c r="H133" s="248">
        <v>0.16200000000000001</v>
      </c>
      <c r="I133" s="249">
        <v>0.17300000000000001</v>
      </c>
      <c r="J133" s="248">
        <v>0.185</v>
      </c>
      <c r="K133" s="247">
        <v>0.21</v>
      </c>
      <c r="L133" s="246">
        <v>0.23100000000000001</v>
      </c>
    </row>
    <row r="134" spans="1:12" ht="15.6" hidden="1" customHeight="1" outlineLevel="1" x14ac:dyDescent="0.25">
      <c r="A134" s="236"/>
      <c r="B134" s="239" t="s">
        <v>20</v>
      </c>
      <c r="C134" s="239" t="s">
        <v>121</v>
      </c>
      <c r="D134" s="239" t="s">
        <v>125</v>
      </c>
      <c r="E134" s="245" t="s">
        <v>91</v>
      </c>
      <c r="F134" s="249"/>
      <c r="G134" s="249"/>
      <c r="H134" s="249"/>
      <c r="I134" s="249">
        <v>3.5000000000000003E-2</v>
      </c>
      <c r="J134" s="249"/>
      <c r="K134" s="247">
        <v>6.2E-2</v>
      </c>
      <c r="L134" s="246">
        <v>8.1000000000000003E-2</v>
      </c>
    </row>
    <row r="135" spans="1:12" ht="15.6" hidden="1" customHeight="1" outlineLevel="1" x14ac:dyDescent="0.25">
      <c r="A135" s="236"/>
      <c r="B135" s="239" t="s">
        <v>20</v>
      </c>
      <c r="C135" s="239" t="s">
        <v>121</v>
      </c>
      <c r="D135" s="239" t="s">
        <v>125</v>
      </c>
      <c r="E135" s="245" t="s">
        <v>92</v>
      </c>
      <c r="F135" s="249"/>
      <c r="G135" s="249"/>
      <c r="H135" s="249"/>
      <c r="I135" s="249">
        <v>3.5000000000000003E-2</v>
      </c>
      <c r="J135" s="249"/>
      <c r="K135" s="247">
        <v>5.3999999999999999E-2</v>
      </c>
      <c r="L135" s="246">
        <v>6.5000000000000002E-2</v>
      </c>
    </row>
    <row r="136" spans="1:12" ht="15.6" hidden="1" customHeight="1" outlineLevel="1" x14ac:dyDescent="0.25">
      <c r="A136" s="236"/>
      <c r="B136" s="239" t="s">
        <v>20</v>
      </c>
      <c r="C136" s="239" t="s">
        <v>121</v>
      </c>
      <c r="D136" s="239" t="s">
        <v>125</v>
      </c>
      <c r="E136" s="245" t="s">
        <v>93</v>
      </c>
      <c r="F136" s="249"/>
      <c r="G136" s="249"/>
      <c r="H136" s="249"/>
      <c r="I136" s="249">
        <v>6.9000000000000006E-2</v>
      </c>
      <c r="J136" s="249"/>
      <c r="K136" s="247">
        <v>9.4E-2</v>
      </c>
      <c r="L136" s="246">
        <v>0.112</v>
      </c>
    </row>
    <row r="137" spans="1:12" ht="15.6" hidden="1" customHeight="1" outlineLevel="1" x14ac:dyDescent="0.25">
      <c r="A137" s="236"/>
      <c r="B137" s="239" t="s">
        <v>20</v>
      </c>
      <c r="C137" s="239" t="s">
        <v>121</v>
      </c>
      <c r="D137" s="239" t="s">
        <v>125</v>
      </c>
      <c r="E137" s="245" t="s">
        <v>94</v>
      </c>
      <c r="F137" s="246">
        <v>2.6000000000000002E-2</v>
      </c>
      <c r="G137" s="247">
        <v>3.4000000000000002E-2</v>
      </c>
      <c r="H137" s="248">
        <v>4.3999999999999997E-2</v>
      </c>
      <c r="I137" s="249">
        <v>4.7E-2</v>
      </c>
      <c r="J137" s="248">
        <v>5.2999999999999999E-2</v>
      </c>
      <c r="K137" s="249"/>
      <c r="L137" s="249"/>
    </row>
    <row r="138" spans="1:12" ht="15.6" hidden="1" customHeight="1" outlineLevel="1" x14ac:dyDescent="0.25">
      <c r="A138" s="236"/>
      <c r="B138" s="239" t="s">
        <v>20</v>
      </c>
      <c r="C138" s="239" t="s">
        <v>121</v>
      </c>
      <c r="D138" s="239" t="s">
        <v>125</v>
      </c>
      <c r="E138" s="245" t="s">
        <v>95</v>
      </c>
      <c r="F138" s="249"/>
      <c r="G138" s="249"/>
      <c r="H138" s="249"/>
      <c r="I138" s="249">
        <v>1.4E-2</v>
      </c>
      <c r="J138" s="249"/>
      <c r="K138" s="247">
        <v>1.8000000000000002E-2</v>
      </c>
      <c r="L138" s="246">
        <v>2.1999999999999999E-2</v>
      </c>
    </row>
    <row r="139" spans="1:12" ht="15.6" hidden="1" customHeight="1" outlineLevel="1" x14ac:dyDescent="0.25">
      <c r="A139" s="236"/>
      <c r="B139" s="239" t="s">
        <v>20</v>
      </c>
      <c r="C139" s="239" t="s">
        <v>121</v>
      </c>
      <c r="D139" s="239" t="s">
        <v>125</v>
      </c>
      <c r="E139" s="245" t="s">
        <v>33</v>
      </c>
      <c r="F139" s="249"/>
      <c r="G139" s="249"/>
      <c r="H139" s="248">
        <v>9.8000000000000004E-2</v>
      </c>
      <c r="I139" s="249">
        <v>0.106</v>
      </c>
      <c r="J139" s="248">
        <v>0.11700000000000001</v>
      </c>
      <c r="K139" s="247">
        <v>0.13500000000000001</v>
      </c>
      <c r="L139" s="246">
        <v>0.155</v>
      </c>
    </row>
    <row r="140" spans="1:12" ht="15.6" hidden="1" customHeight="1" outlineLevel="1" x14ac:dyDescent="0.25">
      <c r="A140" s="236"/>
      <c r="B140" s="239" t="s">
        <v>20</v>
      </c>
      <c r="C140" s="239" t="s">
        <v>121</v>
      </c>
      <c r="D140" s="239" t="s">
        <v>125</v>
      </c>
      <c r="E140" s="245" t="s">
        <v>4</v>
      </c>
      <c r="F140" s="250">
        <v>14.4</v>
      </c>
      <c r="G140" s="251">
        <v>15.8</v>
      </c>
      <c r="H140" s="252">
        <v>17.400000000000002</v>
      </c>
      <c r="I140" s="253">
        <v>18</v>
      </c>
      <c r="J140" s="252">
        <v>18.8</v>
      </c>
      <c r="K140" s="251">
        <v>20.6</v>
      </c>
      <c r="L140" s="250">
        <v>21.900000000000002</v>
      </c>
    </row>
    <row r="141" spans="1:12" ht="15.6" hidden="1" customHeight="1" outlineLevel="1" x14ac:dyDescent="0.25">
      <c r="A141" s="236"/>
      <c r="B141" s="239" t="s">
        <v>20</v>
      </c>
      <c r="C141" s="239" t="s">
        <v>121</v>
      </c>
      <c r="D141" s="239" t="s">
        <v>125</v>
      </c>
      <c r="E141" s="245" t="s">
        <v>14</v>
      </c>
      <c r="F141" s="250">
        <v>6.2</v>
      </c>
      <c r="G141" s="251">
        <v>6.8000000000000007</v>
      </c>
      <c r="H141" s="252">
        <v>7.7</v>
      </c>
      <c r="I141" s="253">
        <v>7.9</v>
      </c>
      <c r="J141" s="252">
        <v>8.2000000000000011</v>
      </c>
      <c r="K141" s="251">
        <v>9.2000000000000011</v>
      </c>
      <c r="L141" s="250">
        <v>9.8000000000000007</v>
      </c>
    </row>
    <row r="142" spans="1:12" ht="15.6" hidden="1" customHeight="1" outlineLevel="1" x14ac:dyDescent="0.25">
      <c r="A142" s="236"/>
      <c r="B142" s="239" t="s">
        <v>20</v>
      </c>
      <c r="C142" s="239" t="s">
        <v>121</v>
      </c>
      <c r="D142" s="239" t="s">
        <v>125</v>
      </c>
      <c r="E142" s="245" t="s">
        <v>0</v>
      </c>
      <c r="F142" s="250">
        <v>19</v>
      </c>
      <c r="G142" s="251">
        <v>20.400000000000002</v>
      </c>
      <c r="H142" s="252">
        <v>22</v>
      </c>
      <c r="I142" s="253">
        <v>22.900000000000002</v>
      </c>
      <c r="J142" s="252">
        <v>23.6</v>
      </c>
      <c r="K142" s="251">
        <v>25.3</v>
      </c>
      <c r="L142" s="250">
        <v>26.8</v>
      </c>
    </row>
    <row r="143" spans="1:12" ht="15.6" hidden="1" customHeight="1" outlineLevel="1" x14ac:dyDescent="0.25">
      <c r="A143" s="236"/>
      <c r="B143" s="236"/>
      <c r="C143" s="236"/>
      <c r="D143" s="236"/>
      <c r="E143" s="236"/>
      <c r="F143" s="236"/>
      <c r="G143" s="236"/>
      <c r="H143" s="236"/>
      <c r="I143" s="236"/>
      <c r="J143" s="236"/>
      <c r="K143" s="236"/>
      <c r="L143" s="236"/>
    </row>
    <row r="144" spans="1:12" ht="15.75" collapsed="1" x14ac:dyDescent="0.25">
      <c r="A144" s="254">
        <v>2197</v>
      </c>
      <c r="B144" s="239" t="s">
        <v>20</v>
      </c>
      <c r="C144" s="239" t="s">
        <v>122</v>
      </c>
      <c r="D144" s="239" t="s">
        <v>125</v>
      </c>
      <c r="E144" s="244" t="s">
        <v>197</v>
      </c>
      <c r="F144" s="236"/>
      <c r="G144" s="236"/>
      <c r="H144" s="236"/>
      <c r="I144" s="236"/>
      <c r="J144" s="236"/>
      <c r="K144" s="236"/>
      <c r="L144" s="236"/>
    </row>
    <row r="145" spans="1:12" ht="15.6" hidden="1" customHeight="1" outlineLevel="1" x14ac:dyDescent="0.25">
      <c r="A145" s="236"/>
      <c r="B145" s="239" t="s">
        <v>20</v>
      </c>
      <c r="C145" s="239" t="s">
        <v>122</v>
      </c>
      <c r="D145" s="239" t="s">
        <v>125</v>
      </c>
      <c r="E145" s="245" t="s">
        <v>88</v>
      </c>
      <c r="F145" s="246">
        <v>0.377</v>
      </c>
      <c r="G145" s="247">
        <v>0.40200000000000002</v>
      </c>
      <c r="H145" s="248">
        <v>0.432</v>
      </c>
      <c r="I145" s="249">
        <v>0.443</v>
      </c>
      <c r="J145" s="248">
        <v>0.45500000000000002</v>
      </c>
      <c r="K145" s="247">
        <v>0.48599999999999999</v>
      </c>
      <c r="L145" s="246">
        <v>0.50700000000000001</v>
      </c>
    </row>
    <row r="146" spans="1:12" ht="15.6" hidden="1" customHeight="1" outlineLevel="1" x14ac:dyDescent="0.25">
      <c r="A146" s="236"/>
      <c r="B146" s="239" t="s">
        <v>20</v>
      </c>
      <c r="C146" s="239" t="s">
        <v>122</v>
      </c>
      <c r="D146" s="239" t="s">
        <v>125</v>
      </c>
      <c r="E146" s="245" t="s">
        <v>89</v>
      </c>
      <c r="F146" s="249"/>
      <c r="G146" s="249"/>
      <c r="H146" s="248">
        <v>1.6E-2</v>
      </c>
      <c r="I146" s="249">
        <v>2.1000000000000001E-2</v>
      </c>
      <c r="J146" s="248">
        <v>2.7E-2</v>
      </c>
      <c r="K146" s="247">
        <v>4.3000000000000003E-2</v>
      </c>
      <c r="L146" s="246">
        <v>6.0999999999999999E-2</v>
      </c>
    </row>
    <row r="147" spans="1:12" ht="15.6" hidden="1" customHeight="1" outlineLevel="1" x14ac:dyDescent="0.25">
      <c r="A147" s="236"/>
      <c r="B147" s="239" t="s">
        <v>20</v>
      </c>
      <c r="C147" s="239" t="s">
        <v>122</v>
      </c>
      <c r="D147" s="239" t="s">
        <v>125</v>
      </c>
      <c r="E147" s="245" t="s">
        <v>90</v>
      </c>
      <c r="F147" s="249"/>
      <c r="G147" s="249"/>
      <c r="H147" s="248">
        <v>0.184</v>
      </c>
      <c r="I147" s="249">
        <v>0.19400000000000001</v>
      </c>
      <c r="J147" s="248">
        <v>0.20600000000000002</v>
      </c>
      <c r="K147" s="247">
        <v>0.23500000000000001</v>
      </c>
      <c r="L147" s="246">
        <v>0.26</v>
      </c>
    </row>
    <row r="148" spans="1:12" ht="15.6" hidden="1" customHeight="1" outlineLevel="1" x14ac:dyDescent="0.25">
      <c r="A148" s="236"/>
      <c r="B148" s="239" t="s">
        <v>20</v>
      </c>
      <c r="C148" s="239" t="s">
        <v>122</v>
      </c>
      <c r="D148" s="239" t="s">
        <v>125</v>
      </c>
      <c r="E148" s="245" t="s">
        <v>91</v>
      </c>
      <c r="F148" s="249"/>
      <c r="G148" s="249"/>
      <c r="H148" s="249"/>
      <c r="I148" s="249">
        <v>3.3000000000000002E-2</v>
      </c>
      <c r="J148" s="249"/>
      <c r="K148" s="247">
        <v>6.4000000000000001E-2</v>
      </c>
      <c r="L148" s="246">
        <v>8.5000000000000006E-2</v>
      </c>
    </row>
    <row r="149" spans="1:12" ht="15.6" hidden="1" customHeight="1" outlineLevel="1" x14ac:dyDescent="0.25">
      <c r="A149" s="236"/>
      <c r="B149" s="239" t="s">
        <v>20</v>
      </c>
      <c r="C149" s="239" t="s">
        <v>122</v>
      </c>
      <c r="D149" s="239" t="s">
        <v>125</v>
      </c>
      <c r="E149" s="245" t="s">
        <v>92</v>
      </c>
      <c r="F149" s="249"/>
      <c r="G149" s="249"/>
      <c r="H149" s="249"/>
      <c r="I149" s="249">
        <v>3.4000000000000002E-2</v>
      </c>
      <c r="J149" s="249"/>
      <c r="K149" s="247">
        <v>5.2000000000000005E-2</v>
      </c>
      <c r="L149" s="246">
        <v>6.6000000000000003E-2</v>
      </c>
    </row>
    <row r="150" spans="1:12" ht="15.6" hidden="1" customHeight="1" outlineLevel="1" x14ac:dyDescent="0.25">
      <c r="A150" s="236"/>
      <c r="B150" s="239" t="s">
        <v>20</v>
      </c>
      <c r="C150" s="239" t="s">
        <v>122</v>
      </c>
      <c r="D150" s="239" t="s">
        <v>125</v>
      </c>
      <c r="E150" s="245" t="s">
        <v>93</v>
      </c>
      <c r="F150" s="249"/>
      <c r="G150" s="249"/>
      <c r="H150" s="249"/>
      <c r="I150" s="249">
        <v>6.8000000000000005E-2</v>
      </c>
      <c r="J150" s="249"/>
      <c r="K150" s="247">
        <v>9.2999999999999999E-2</v>
      </c>
      <c r="L150" s="246">
        <v>0.109</v>
      </c>
    </row>
    <row r="151" spans="1:12" ht="15.6" hidden="1" customHeight="1" outlineLevel="1" x14ac:dyDescent="0.25">
      <c r="A151" s="236"/>
      <c r="B151" s="239" t="s">
        <v>20</v>
      </c>
      <c r="C151" s="239" t="s">
        <v>122</v>
      </c>
      <c r="D151" s="239" t="s">
        <v>125</v>
      </c>
      <c r="E151" s="245" t="s">
        <v>94</v>
      </c>
      <c r="F151" s="246">
        <v>2.7E-2</v>
      </c>
      <c r="G151" s="247">
        <v>3.3000000000000002E-2</v>
      </c>
      <c r="H151" s="248">
        <v>4.2000000000000003E-2</v>
      </c>
      <c r="I151" s="249">
        <v>4.5999999999999999E-2</v>
      </c>
      <c r="J151" s="248">
        <v>0.05</v>
      </c>
      <c r="K151" s="249"/>
      <c r="L151" s="249"/>
    </row>
    <row r="152" spans="1:12" ht="15.6" hidden="1" customHeight="1" outlineLevel="1" x14ac:dyDescent="0.25">
      <c r="A152" s="236"/>
      <c r="B152" s="239" t="s">
        <v>20</v>
      </c>
      <c r="C152" s="239" t="s">
        <v>122</v>
      </c>
      <c r="D152" s="239" t="s">
        <v>125</v>
      </c>
      <c r="E152" s="245" t="s">
        <v>95</v>
      </c>
      <c r="F152" s="249"/>
      <c r="G152" s="249"/>
      <c r="H152" s="249"/>
      <c r="I152" s="249">
        <v>1.2E-2</v>
      </c>
      <c r="J152" s="249"/>
      <c r="K152" s="247">
        <v>1.6E-2</v>
      </c>
      <c r="L152" s="246">
        <v>1.8000000000000002E-2</v>
      </c>
    </row>
    <row r="153" spans="1:12" ht="15.6" hidden="1" customHeight="1" outlineLevel="1" x14ac:dyDescent="0.25">
      <c r="A153" s="236"/>
      <c r="B153" s="239" t="s">
        <v>20</v>
      </c>
      <c r="C153" s="239" t="s">
        <v>122</v>
      </c>
      <c r="D153" s="239" t="s">
        <v>125</v>
      </c>
      <c r="E153" s="245" t="s">
        <v>33</v>
      </c>
      <c r="F153" s="249"/>
      <c r="G153" s="249"/>
      <c r="H153" s="248">
        <v>7.5999999999999998E-2</v>
      </c>
      <c r="I153" s="249">
        <v>8.3000000000000004E-2</v>
      </c>
      <c r="J153" s="248">
        <v>0.09</v>
      </c>
      <c r="K153" s="247">
        <v>0.111</v>
      </c>
      <c r="L153" s="246">
        <v>0.126</v>
      </c>
    </row>
    <row r="154" spans="1:12" ht="15.6" hidden="1" customHeight="1" outlineLevel="1" x14ac:dyDescent="0.25">
      <c r="A154" s="236"/>
      <c r="B154" s="239" t="s">
        <v>20</v>
      </c>
      <c r="C154" s="239" t="s">
        <v>122</v>
      </c>
      <c r="D154" s="239" t="s">
        <v>125</v>
      </c>
      <c r="E154" s="245" t="s">
        <v>4</v>
      </c>
      <c r="F154" s="250">
        <v>16.2</v>
      </c>
      <c r="G154" s="251">
        <v>17.400000000000002</v>
      </c>
      <c r="H154" s="252">
        <v>19</v>
      </c>
      <c r="I154" s="253">
        <v>19.700000000000003</v>
      </c>
      <c r="J154" s="252">
        <v>20.400000000000002</v>
      </c>
      <c r="K154" s="251">
        <v>22.3</v>
      </c>
      <c r="L154" s="250">
        <v>23.900000000000002</v>
      </c>
    </row>
    <row r="155" spans="1:12" ht="15.6" hidden="1" customHeight="1" outlineLevel="1" x14ac:dyDescent="0.25">
      <c r="A155" s="236"/>
      <c r="B155" s="239" t="s">
        <v>20</v>
      </c>
      <c r="C155" s="239" t="s">
        <v>122</v>
      </c>
      <c r="D155" s="239" t="s">
        <v>125</v>
      </c>
      <c r="E155" s="245" t="s">
        <v>14</v>
      </c>
      <c r="F155" s="250">
        <v>6.8000000000000007</v>
      </c>
      <c r="G155" s="251">
        <v>7.3000000000000007</v>
      </c>
      <c r="H155" s="252">
        <v>8.1</v>
      </c>
      <c r="I155" s="253">
        <v>8.4</v>
      </c>
      <c r="J155" s="252">
        <v>8.7000000000000011</v>
      </c>
      <c r="K155" s="251">
        <v>9.5</v>
      </c>
      <c r="L155" s="250">
        <v>10.200000000000001</v>
      </c>
    </row>
    <row r="156" spans="1:12" ht="15.6" hidden="1" customHeight="1" outlineLevel="1" x14ac:dyDescent="0.25">
      <c r="A156" s="236"/>
      <c r="B156" s="239" t="s">
        <v>20</v>
      </c>
      <c r="C156" s="239" t="s">
        <v>122</v>
      </c>
      <c r="D156" s="239" t="s">
        <v>125</v>
      </c>
      <c r="E156" s="245" t="s">
        <v>0</v>
      </c>
      <c r="F156" s="250">
        <v>22.1</v>
      </c>
      <c r="G156" s="251">
        <v>23.6</v>
      </c>
      <c r="H156" s="252">
        <v>25.400000000000002</v>
      </c>
      <c r="I156" s="253">
        <v>26.1</v>
      </c>
      <c r="J156" s="252">
        <v>26.8</v>
      </c>
      <c r="K156" s="251">
        <v>28.5</v>
      </c>
      <c r="L156" s="250">
        <v>29.400000000000002</v>
      </c>
    </row>
    <row r="157" spans="1:12" ht="15.6" hidden="1" customHeight="1" outlineLevel="1" x14ac:dyDescent="0.25">
      <c r="A157" s="236"/>
      <c r="B157" s="236"/>
      <c r="C157" s="236"/>
      <c r="D157" s="236"/>
      <c r="E157" s="236"/>
      <c r="F157" s="236"/>
      <c r="G157" s="236"/>
      <c r="H157" s="236"/>
      <c r="I157" s="236"/>
      <c r="J157" s="236"/>
      <c r="K157" s="236"/>
      <c r="L157" s="236"/>
    </row>
    <row r="158" spans="1:12" ht="15.75" collapsed="1" x14ac:dyDescent="0.25">
      <c r="A158" s="254">
        <v>1120</v>
      </c>
      <c r="B158" s="239" t="s">
        <v>20</v>
      </c>
      <c r="C158" s="239" t="s">
        <v>123</v>
      </c>
      <c r="D158" s="239" t="s">
        <v>125</v>
      </c>
      <c r="E158" s="244" t="s">
        <v>198</v>
      </c>
      <c r="F158" s="236"/>
      <c r="G158" s="236"/>
      <c r="H158" s="236"/>
      <c r="I158" s="236"/>
      <c r="J158" s="236"/>
      <c r="K158" s="236"/>
      <c r="L158" s="236"/>
    </row>
    <row r="159" spans="1:12" ht="15.6" hidden="1" customHeight="1" outlineLevel="1" x14ac:dyDescent="0.25">
      <c r="A159" s="236"/>
      <c r="B159" s="239" t="s">
        <v>20</v>
      </c>
      <c r="C159" s="239" t="s">
        <v>123</v>
      </c>
      <c r="D159" s="239" t="s">
        <v>125</v>
      </c>
      <c r="E159" s="245" t="s">
        <v>88</v>
      </c>
      <c r="F159" s="246">
        <v>0.38</v>
      </c>
      <c r="G159" s="247">
        <v>0.40200000000000002</v>
      </c>
      <c r="H159" s="248">
        <v>0.43099999999999999</v>
      </c>
      <c r="I159" s="249">
        <v>0.44400000000000001</v>
      </c>
      <c r="J159" s="248">
        <v>0.45400000000000001</v>
      </c>
      <c r="K159" s="247">
        <v>0.48299999999999998</v>
      </c>
      <c r="L159" s="246">
        <v>0.50700000000000001</v>
      </c>
    </row>
    <row r="160" spans="1:12" ht="15.6" hidden="1" customHeight="1" outlineLevel="1" x14ac:dyDescent="0.25">
      <c r="A160" s="236"/>
      <c r="B160" s="239" t="s">
        <v>20</v>
      </c>
      <c r="C160" s="239" t="s">
        <v>123</v>
      </c>
      <c r="D160" s="239" t="s">
        <v>125</v>
      </c>
      <c r="E160" s="245" t="s">
        <v>89</v>
      </c>
      <c r="F160" s="249"/>
      <c r="G160" s="249"/>
      <c r="H160" s="248">
        <v>1.4E-2</v>
      </c>
      <c r="I160" s="249">
        <v>1.9E-2</v>
      </c>
      <c r="J160" s="248">
        <v>2.5000000000000001E-2</v>
      </c>
      <c r="K160" s="247">
        <v>0.04</v>
      </c>
      <c r="L160" s="246">
        <v>5.5E-2</v>
      </c>
    </row>
    <row r="161" spans="1:14" ht="15.6" hidden="1" customHeight="1" outlineLevel="1" x14ac:dyDescent="0.25">
      <c r="A161" s="236"/>
      <c r="B161" s="239" t="s">
        <v>20</v>
      </c>
      <c r="C161" s="239" t="s">
        <v>123</v>
      </c>
      <c r="D161" s="239" t="s">
        <v>125</v>
      </c>
      <c r="E161" s="245" t="s">
        <v>90</v>
      </c>
      <c r="F161" s="249"/>
      <c r="G161" s="249"/>
      <c r="H161" s="248">
        <v>0.19500000000000001</v>
      </c>
      <c r="I161" s="249">
        <v>0.21</v>
      </c>
      <c r="J161" s="248">
        <v>0.22</v>
      </c>
      <c r="K161" s="247">
        <v>0.25</v>
      </c>
      <c r="L161" s="246">
        <v>0.27200000000000002</v>
      </c>
      <c r="M161" s="236"/>
      <c r="N161" s="236"/>
    </row>
    <row r="162" spans="1:14" ht="15.6" hidden="1" customHeight="1" outlineLevel="1" x14ac:dyDescent="0.25">
      <c r="A162" s="236"/>
      <c r="B162" s="239" t="s">
        <v>20</v>
      </c>
      <c r="C162" s="239" t="s">
        <v>123</v>
      </c>
      <c r="D162" s="239" t="s">
        <v>125</v>
      </c>
      <c r="E162" s="245" t="s">
        <v>91</v>
      </c>
      <c r="F162" s="249"/>
      <c r="G162" s="249"/>
      <c r="H162" s="249"/>
      <c r="I162" s="249">
        <v>3.3000000000000002E-2</v>
      </c>
      <c r="J162" s="249"/>
      <c r="K162" s="247">
        <v>6.7000000000000004E-2</v>
      </c>
      <c r="L162" s="246">
        <v>8.7999999999999995E-2</v>
      </c>
      <c r="M162" s="236"/>
      <c r="N162" s="236"/>
    </row>
    <row r="163" spans="1:14" ht="15.6" hidden="1" customHeight="1" outlineLevel="1" x14ac:dyDescent="0.25">
      <c r="A163" s="236"/>
      <c r="B163" s="239" t="s">
        <v>20</v>
      </c>
      <c r="C163" s="239" t="s">
        <v>123</v>
      </c>
      <c r="D163" s="239" t="s">
        <v>125</v>
      </c>
      <c r="E163" s="245" t="s">
        <v>92</v>
      </c>
      <c r="F163" s="249"/>
      <c r="G163" s="249"/>
      <c r="H163" s="249"/>
      <c r="I163" s="249">
        <v>3.4000000000000002E-2</v>
      </c>
      <c r="J163" s="249"/>
      <c r="K163" s="247">
        <v>0.05</v>
      </c>
      <c r="L163" s="246">
        <v>6.2E-2</v>
      </c>
      <c r="M163" s="236"/>
      <c r="N163" s="236"/>
    </row>
    <row r="164" spans="1:14" ht="15.6" hidden="1" customHeight="1" outlineLevel="1" x14ac:dyDescent="0.25">
      <c r="A164" s="236"/>
      <c r="B164" s="239" t="s">
        <v>20</v>
      </c>
      <c r="C164" s="239" t="s">
        <v>123</v>
      </c>
      <c r="D164" s="239" t="s">
        <v>125</v>
      </c>
      <c r="E164" s="245" t="s">
        <v>93</v>
      </c>
      <c r="F164" s="249"/>
      <c r="G164" s="249"/>
      <c r="H164" s="249"/>
      <c r="I164" s="249">
        <v>6.4000000000000001E-2</v>
      </c>
      <c r="J164" s="249"/>
      <c r="K164" s="247">
        <v>8.8999999999999996E-2</v>
      </c>
      <c r="L164" s="246">
        <v>0.106</v>
      </c>
      <c r="M164" s="236"/>
      <c r="N164" s="236"/>
    </row>
    <row r="165" spans="1:14" ht="15.6" hidden="1" customHeight="1" outlineLevel="1" x14ac:dyDescent="0.25">
      <c r="A165" s="236"/>
      <c r="B165" s="239" t="s">
        <v>20</v>
      </c>
      <c r="C165" s="239" t="s">
        <v>123</v>
      </c>
      <c r="D165" s="239" t="s">
        <v>125</v>
      </c>
      <c r="E165" s="245" t="s">
        <v>94</v>
      </c>
      <c r="F165" s="246">
        <v>2.7E-2</v>
      </c>
      <c r="G165" s="247">
        <v>3.3000000000000002E-2</v>
      </c>
      <c r="H165" s="248">
        <v>4.1000000000000002E-2</v>
      </c>
      <c r="I165" s="249">
        <v>4.4999999999999998E-2</v>
      </c>
      <c r="J165" s="248">
        <v>4.9000000000000002E-2</v>
      </c>
      <c r="K165" s="249"/>
      <c r="L165" s="249"/>
      <c r="M165" s="236"/>
      <c r="N165" s="236"/>
    </row>
    <row r="166" spans="1:14" ht="15.6" hidden="1" customHeight="1" outlineLevel="1" x14ac:dyDescent="0.25">
      <c r="A166" s="236"/>
      <c r="B166" s="239" t="s">
        <v>20</v>
      </c>
      <c r="C166" s="239" t="s">
        <v>123</v>
      </c>
      <c r="D166" s="239" t="s">
        <v>125</v>
      </c>
      <c r="E166" s="245" t="s">
        <v>95</v>
      </c>
      <c r="F166" s="249"/>
      <c r="G166" s="249"/>
      <c r="H166" s="249"/>
      <c r="I166" s="249">
        <v>1.0999999999999999E-2</v>
      </c>
      <c r="J166" s="249"/>
      <c r="K166" s="247">
        <v>1.4E-2</v>
      </c>
      <c r="L166" s="246">
        <v>1.6E-2</v>
      </c>
      <c r="M166" s="236"/>
      <c r="N166" s="236"/>
    </row>
    <row r="167" spans="1:14" ht="15.6" hidden="1" customHeight="1" outlineLevel="1" x14ac:dyDescent="0.25">
      <c r="A167" s="236"/>
      <c r="B167" s="239" t="s">
        <v>20</v>
      </c>
      <c r="C167" s="239" t="s">
        <v>123</v>
      </c>
      <c r="D167" s="239" t="s">
        <v>125</v>
      </c>
      <c r="E167" s="245" t="s">
        <v>33</v>
      </c>
      <c r="F167" s="249"/>
      <c r="G167" s="249"/>
      <c r="H167" s="248">
        <v>6.3E-2</v>
      </c>
      <c r="I167" s="249">
        <v>7.0000000000000007E-2</v>
      </c>
      <c r="J167" s="248">
        <v>7.6999999999999999E-2</v>
      </c>
      <c r="K167" s="247">
        <v>9.2999999999999999E-2</v>
      </c>
      <c r="L167" s="246">
        <v>0.106</v>
      </c>
      <c r="M167" s="236"/>
      <c r="N167" s="236"/>
    </row>
    <row r="168" spans="1:14" ht="15.6" hidden="1" customHeight="1" outlineLevel="1" x14ac:dyDescent="0.25">
      <c r="A168" s="236"/>
      <c r="B168" s="239" t="s">
        <v>20</v>
      </c>
      <c r="C168" s="239" t="s">
        <v>123</v>
      </c>
      <c r="D168" s="239" t="s">
        <v>125</v>
      </c>
      <c r="E168" s="245" t="s">
        <v>4</v>
      </c>
      <c r="F168" s="250">
        <v>17</v>
      </c>
      <c r="G168" s="251">
        <v>18.3</v>
      </c>
      <c r="H168" s="252">
        <v>19.8</v>
      </c>
      <c r="I168" s="253">
        <v>20.400000000000002</v>
      </c>
      <c r="J168" s="252">
        <v>21.200000000000003</v>
      </c>
      <c r="K168" s="251">
        <v>22.900000000000002</v>
      </c>
      <c r="L168" s="250">
        <v>24.400000000000002</v>
      </c>
      <c r="M168" s="236"/>
      <c r="N168" s="236"/>
    </row>
    <row r="169" spans="1:14" ht="15.6" hidden="1" customHeight="1" outlineLevel="1" x14ac:dyDescent="0.25">
      <c r="A169" s="236"/>
      <c r="B169" s="239" t="s">
        <v>20</v>
      </c>
      <c r="C169" s="239" t="s">
        <v>123</v>
      </c>
      <c r="D169" s="239" t="s">
        <v>125</v>
      </c>
      <c r="E169" s="245" t="s">
        <v>14</v>
      </c>
      <c r="F169" s="250">
        <v>7.1000000000000005</v>
      </c>
      <c r="G169" s="251">
        <v>7.6000000000000005</v>
      </c>
      <c r="H169" s="252">
        <v>8.3000000000000007</v>
      </c>
      <c r="I169" s="253">
        <v>8.6</v>
      </c>
      <c r="J169" s="252">
        <v>8.9</v>
      </c>
      <c r="K169" s="251">
        <v>9.6000000000000014</v>
      </c>
      <c r="L169" s="250">
        <v>10.4</v>
      </c>
      <c r="M169" s="236"/>
      <c r="N169" s="236"/>
    </row>
    <row r="170" spans="1:14" ht="15.6" hidden="1" customHeight="1" outlineLevel="1" x14ac:dyDescent="0.25">
      <c r="A170" s="236"/>
      <c r="B170" s="239" t="s">
        <v>20</v>
      </c>
      <c r="C170" s="239" t="s">
        <v>123</v>
      </c>
      <c r="D170" s="239" t="s">
        <v>125</v>
      </c>
      <c r="E170" s="245" t="s">
        <v>0</v>
      </c>
      <c r="F170" s="250">
        <v>24.5</v>
      </c>
      <c r="G170" s="251">
        <v>25.8</v>
      </c>
      <c r="H170" s="252">
        <v>27.1</v>
      </c>
      <c r="I170" s="253">
        <v>27.6</v>
      </c>
      <c r="J170" s="252">
        <v>28.1</v>
      </c>
      <c r="K170" s="251">
        <v>29.200000000000003</v>
      </c>
      <c r="L170" s="250">
        <v>29.700000000000003</v>
      </c>
      <c r="M170" s="236"/>
      <c r="N170" s="236"/>
    </row>
    <row r="171" spans="1:14" ht="15.6" hidden="1" customHeight="1" outlineLevel="1" x14ac:dyDescent="0.25">
      <c r="A171" s="236"/>
      <c r="B171" s="236"/>
      <c r="C171" s="236"/>
      <c r="D171" s="236"/>
      <c r="E171" s="236"/>
      <c r="F171" s="236"/>
      <c r="G171" s="236"/>
      <c r="H171" s="236"/>
      <c r="I171" s="236"/>
      <c r="J171" s="236"/>
      <c r="K171" s="236"/>
      <c r="L171" s="236"/>
      <c r="M171" s="236"/>
      <c r="N171" s="236"/>
    </row>
    <row r="172" spans="1:14" ht="15.75" collapsed="1" x14ac:dyDescent="0.25">
      <c r="A172" s="236"/>
      <c r="B172" s="236"/>
      <c r="C172" s="236"/>
      <c r="D172" s="236"/>
      <c r="E172" s="236"/>
      <c r="F172" s="236"/>
      <c r="G172" s="236"/>
      <c r="H172" s="236"/>
      <c r="I172" s="236"/>
      <c r="J172" s="236"/>
      <c r="K172" s="236"/>
      <c r="L172" s="236"/>
      <c r="M172" s="236"/>
      <c r="N172" s="236"/>
    </row>
    <row r="173" spans="1:14" s="235" customFormat="1" ht="51.6" customHeight="1" x14ac:dyDescent="0.25">
      <c r="A173" s="241" t="s">
        <v>129</v>
      </c>
      <c r="B173" s="241" t="s">
        <v>15</v>
      </c>
      <c r="C173" s="241" t="s">
        <v>112</v>
      </c>
      <c r="D173" s="241" t="s">
        <v>19</v>
      </c>
      <c r="E173" s="242"/>
      <c r="F173" s="243" t="s">
        <v>132</v>
      </c>
      <c r="G173" s="243" t="s">
        <v>133</v>
      </c>
      <c r="H173" s="243" t="s">
        <v>134</v>
      </c>
      <c r="I173" s="243" t="s">
        <v>139</v>
      </c>
      <c r="J173" s="243" t="s">
        <v>138</v>
      </c>
      <c r="K173" s="243" t="s">
        <v>135</v>
      </c>
      <c r="L173" s="243" t="s">
        <v>136</v>
      </c>
      <c r="M173" s="242"/>
      <c r="N173" s="242" t="s">
        <v>137</v>
      </c>
    </row>
    <row r="174" spans="1:14" ht="15.75" x14ac:dyDescent="0.25">
      <c r="A174" s="237">
        <v>59</v>
      </c>
      <c r="B174" s="239" t="s">
        <v>114</v>
      </c>
      <c r="C174" s="239" t="s">
        <v>121</v>
      </c>
      <c r="D174" s="239" t="s">
        <v>120</v>
      </c>
      <c r="E174" s="244" t="s">
        <v>199</v>
      </c>
      <c r="F174" s="236"/>
      <c r="G174" s="236"/>
      <c r="H174" s="236"/>
      <c r="I174" s="236"/>
      <c r="J174" s="236"/>
      <c r="K174" s="236"/>
      <c r="L174" s="236"/>
      <c r="M174" s="236"/>
      <c r="N174" s="236"/>
    </row>
    <row r="175" spans="1:14" ht="15.6" hidden="1" customHeight="1" outlineLevel="1" x14ac:dyDescent="0.25">
      <c r="A175" s="236"/>
      <c r="B175" s="239" t="s">
        <v>114</v>
      </c>
      <c r="C175" s="239" t="s">
        <v>121</v>
      </c>
      <c r="D175" s="239" t="s">
        <v>120</v>
      </c>
      <c r="E175" s="245" t="s">
        <v>88</v>
      </c>
      <c r="F175" s="246">
        <v>0.40800000000000003</v>
      </c>
      <c r="G175" s="247">
        <v>0.51200000000000001</v>
      </c>
      <c r="H175" s="248">
        <v>0.55600000000000005</v>
      </c>
      <c r="I175" s="249">
        <v>0.57200000000000006</v>
      </c>
      <c r="J175" s="248">
        <v>0.58799999999999997</v>
      </c>
      <c r="K175" s="247">
        <v>0.61199999999999999</v>
      </c>
      <c r="L175" s="246">
        <v>0.64800000000000002</v>
      </c>
      <c r="M175" s="236"/>
      <c r="N175" s="236"/>
    </row>
    <row r="176" spans="1:14" ht="15.6" hidden="1" customHeight="1" outlineLevel="1" x14ac:dyDescent="0.25">
      <c r="A176" s="236"/>
      <c r="B176" s="239" t="s">
        <v>114</v>
      </c>
      <c r="C176" s="239" t="s">
        <v>121</v>
      </c>
      <c r="D176" s="239" t="s">
        <v>120</v>
      </c>
      <c r="E176" s="245" t="s">
        <v>89</v>
      </c>
      <c r="F176" s="249"/>
      <c r="G176" s="249"/>
      <c r="H176" s="248">
        <v>3.0000000000000001E-3</v>
      </c>
      <c r="I176" s="249">
        <v>8.0000000000000002E-3</v>
      </c>
      <c r="J176" s="248">
        <v>1.3000000000000001E-2</v>
      </c>
      <c r="K176" s="247">
        <v>2.5000000000000001E-2</v>
      </c>
      <c r="L176" s="246">
        <v>3.1E-2</v>
      </c>
      <c r="M176" s="236"/>
      <c r="N176" s="236"/>
    </row>
    <row r="177" spans="1:12" ht="15.6" hidden="1" customHeight="1" outlineLevel="1" x14ac:dyDescent="0.25">
      <c r="A177" s="236"/>
      <c r="B177" s="239" t="s">
        <v>114</v>
      </c>
      <c r="C177" s="239" t="s">
        <v>121</v>
      </c>
      <c r="D177" s="239" t="s">
        <v>120</v>
      </c>
      <c r="E177" s="245" t="s">
        <v>90</v>
      </c>
      <c r="F177" s="249"/>
      <c r="G177" s="249"/>
      <c r="H177" s="248">
        <v>5.2000000000000005E-2</v>
      </c>
      <c r="I177" s="249">
        <v>6.5000000000000002E-2</v>
      </c>
      <c r="J177" s="248">
        <v>7.5999999999999998E-2</v>
      </c>
      <c r="K177" s="247">
        <v>0.10400000000000001</v>
      </c>
      <c r="L177" s="246">
        <v>0.127</v>
      </c>
    </row>
    <row r="178" spans="1:12" ht="15.6" hidden="1" customHeight="1" outlineLevel="1" x14ac:dyDescent="0.25">
      <c r="A178" s="236"/>
      <c r="B178" s="239" t="s">
        <v>114</v>
      </c>
      <c r="C178" s="239" t="s">
        <v>121</v>
      </c>
      <c r="D178" s="239" t="s">
        <v>120</v>
      </c>
      <c r="E178" s="245" t="s">
        <v>91</v>
      </c>
      <c r="F178" s="249"/>
      <c r="G178" s="249"/>
      <c r="H178" s="249"/>
      <c r="I178" s="249">
        <v>6.5000000000000002E-2</v>
      </c>
      <c r="J178" s="249"/>
      <c r="K178" s="247">
        <v>8.2000000000000003E-2</v>
      </c>
      <c r="L178" s="246">
        <v>0.114</v>
      </c>
    </row>
    <row r="179" spans="1:12" ht="15.6" hidden="1" customHeight="1" outlineLevel="1" x14ac:dyDescent="0.25">
      <c r="A179" s="236"/>
      <c r="B179" s="239" t="s">
        <v>114</v>
      </c>
      <c r="C179" s="239" t="s">
        <v>121</v>
      </c>
      <c r="D179" s="239" t="s">
        <v>120</v>
      </c>
      <c r="E179" s="245" t="s">
        <v>92</v>
      </c>
      <c r="F179" s="249"/>
      <c r="G179" s="249"/>
      <c r="H179" s="249"/>
      <c r="I179" s="249">
        <v>1.4E-2</v>
      </c>
      <c r="J179" s="249"/>
      <c r="K179" s="247">
        <v>4.5999999999999999E-2</v>
      </c>
      <c r="L179" s="246">
        <v>0.11</v>
      </c>
    </row>
    <row r="180" spans="1:12" ht="15.6" hidden="1" customHeight="1" outlineLevel="1" x14ac:dyDescent="0.25">
      <c r="A180" s="236"/>
      <c r="B180" s="239" t="s">
        <v>114</v>
      </c>
      <c r="C180" s="239" t="s">
        <v>121</v>
      </c>
      <c r="D180" s="239" t="s">
        <v>120</v>
      </c>
      <c r="E180" s="245" t="s">
        <v>93</v>
      </c>
      <c r="F180" s="249"/>
      <c r="G180" s="249"/>
      <c r="H180" s="249"/>
      <c r="I180" s="249">
        <v>4.9000000000000002E-2</v>
      </c>
      <c r="J180" s="249"/>
      <c r="K180" s="247">
        <v>8.4000000000000005E-2</v>
      </c>
      <c r="L180" s="246">
        <v>0.105</v>
      </c>
    </row>
    <row r="181" spans="1:12" ht="15.6" hidden="1" customHeight="1" outlineLevel="1" x14ac:dyDescent="0.25">
      <c r="A181" s="236"/>
      <c r="B181" s="239" t="s">
        <v>114</v>
      </c>
      <c r="C181" s="239" t="s">
        <v>121</v>
      </c>
      <c r="D181" s="239" t="s">
        <v>120</v>
      </c>
      <c r="E181" s="245" t="s">
        <v>94</v>
      </c>
      <c r="F181" s="246">
        <v>3.7999999999999999E-2</v>
      </c>
      <c r="G181" s="247">
        <v>4.5999999999999999E-2</v>
      </c>
      <c r="H181" s="248">
        <v>6.4000000000000001E-2</v>
      </c>
      <c r="I181" s="249">
        <v>7.2999999999999995E-2</v>
      </c>
      <c r="J181" s="248">
        <v>0.08</v>
      </c>
      <c r="K181" s="249"/>
      <c r="L181" s="249"/>
    </row>
    <row r="182" spans="1:12" ht="15.6" hidden="1" customHeight="1" outlineLevel="1" x14ac:dyDescent="0.25">
      <c r="A182" s="236"/>
      <c r="B182" s="239" t="s">
        <v>114</v>
      </c>
      <c r="C182" s="239" t="s">
        <v>121</v>
      </c>
      <c r="D182" s="239" t="s">
        <v>120</v>
      </c>
      <c r="E182" s="245" t="s">
        <v>95</v>
      </c>
      <c r="F182" s="249"/>
      <c r="G182" s="249"/>
      <c r="H182" s="249"/>
      <c r="I182" s="249">
        <v>1.7000000000000001E-2</v>
      </c>
      <c r="J182" s="249"/>
      <c r="K182" s="247">
        <v>2.1999999999999999E-2</v>
      </c>
      <c r="L182" s="246">
        <v>2.8000000000000001E-2</v>
      </c>
    </row>
    <row r="183" spans="1:12" ht="15.6" hidden="1" customHeight="1" outlineLevel="1" x14ac:dyDescent="0.25">
      <c r="A183" s="236"/>
      <c r="B183" s="239" t="s">
        <v>114</v>
      </c>
      <c r="C183" s="239" t="s">
        <v>121</v>
      </c>
      <c r="D183" s="239" t="s">
        <v>120</v>
      </c>
      <c r="E183" s="245" t="s">
        <v>33</v>
      </c>
      <c r="F183" s="249"/>
      <c r="G183" s="249"/>
      <c r="H183" s="248">
        <v>0.06</v>
      </c>
      <c r="I183" s="249">
        <v>6.7000000000000004E-2</v>
      </c>
      <c r="J183" s="248">
        <v>6.8000000000000005E-2</v>
      </c>
      <c r="K183" s="247">
        <v>8.7000000000000008E-2</v>
      </c>
      <c r="L183" s="246">
        <v>0.10100000000000001</v>
      </c>
    </row>
    <row r="184" spans="1:12" ht="15.6" hidden="1" customHeight="1" outlineLevel="1" x14ac:dyDescent="0.25">
      <c r="A184" s="236"/>
      <c r="B184" s="239" t="s">
        <v>114</v>
      </c>
      <c r="C184" s="239" t="s">
        <v>121</v>
      </c>
      <c r="D184" s="239" t="s">
        <v>120</v>
      </c>
      <c r="E184" s="245" t="s">
        <v>4</v>
      </c>
      <c r="F184" s="250">
        <v>11.100000000000001</v>
      </c>
      <c r="G184" s="251">
        <v>12.8</v>
      </c>
      <c r="H184" s="252">
        <v>15.3</v>
      </c>
      <c r="I184" s="253">
        <v>16.100000000000001</v>
      </c>
      <c r="J184" s="252">
        <v>16.600000000000001</v>
      </c>
      <c r="K184" s="251">
        <v>17.8</v>
      </c>
      <c r="L184" s="250">
        <v>19</v>
      </c>
    </row>
    <row r="185" spans="1:12" ht="15.6" hidden="1" customHeight="1" outlineLevel="1" x14ac:dyDescent="0.25">
      <c r="A185" s="236"/>
      <c r="B185" s="239" t="s">
        <v>114</v>
      </c>
      <c r="C185" s="239" t="s">
        <v>121</v>
      </c>
      <c r="D185" s="239" t="s">
        <v>120</v>
      </c>
      <c r="E185" s="245" t="s">
        <v>14</v>
      </c>
      <c r="F185" s="250">
        <v>6.4</v>
      </c>
      <c r="G185" s="251">
        <v>8.1</v>
      </c>
      <c r="H185" s="252">
        <v>9.3000000000000007</v>
      </c>
      <c r="I185" s="253">
        <v>9.9</v>
      </c>
      <c r="J185" s="252">
        <v>10.200000000000001</v>
      </c>
      <c r="K185" s="251">
        <v>11.4</v>
      </c>
      <c r="L185" s="250">
        <v>12.8</v>
      </c>
    </row>
    <row r="186" spans="1:12" ht="15.6" hidden="1" customHeight="1" outlineLevel="1" x14ac:dyDescent="0.25">
      <c r="A186" s="236"/>
      <c r="B186" s="239" t="s">
        <v>114</v>
      </c>
      <c r="C186" s="239" t="s">
        <v>121</v>
      </c>
      <c r="D186" s="239" t="s">
        <v>120</v>
      </c>
      <c r="E186" s="245" t="s">
        <v>0</v>
      </c>
      <c r="F186" s="250">
        <v>14</v>
      </c>
      <c r="G186" s="251">
        <v>16.600000000000001</v>
      </c>
      <c r="H186" s="252">
        <v>19.100000000000001</v>
      </c>
      <c r="I186" s="253">
        <v>20</v>
      </c>
      <c r="J186" s="252">
        <v>20.5</v>
      </c>
      <c r="K186" s="251">
        <v>22</v>
      </c>
      <c r="L186" s="250">
        <v>22.900000000000002</v>
      </c>
    </row>
    <row r="187" spans="1:12" ht="15.6" hidden="1" customHeight="1" outlineLevel="1" x14ac:dyDescent="0.25">
      <c r="A187" s="236"/>
      <c r="B187" s="236"/>
      <c r="C187" s="236"/>
      <c r="D187" s="236"/>
      <c r="E187" s="236"/>
      <c r="F187" s="236"/>
      <c r="G187" s="236"/>
      <c r="H187" s="236"/>
      <c r="I187" s="236"/>
      <c r="J187" s="236"/>
      <c r="K187" s="236"/>
      <c r="L187" s="236"/>
    </row>
    <row r="188" spans="1:12" ht="15.75" collapsed="1" x14ac:dyDescent="0.25">
      <c r="A188" s="237">
        <v>304</v>
      </c>
      <c r="B188" s="239" t="s">
        <v>114</v>
      </c>
      <c r="C188" s="239" t="s">
        <v>122</v>
      </c>
      <c r="D188" s="239" t="s">
        <v>120</v>
      </c>
      <c r="E188" s="244" t="s">
        <v>200</v>
      </c>
      <c r="F188" s="236"/>
      <c r="G188" s="236"/>
      <c r="H188" s="236"/>
      <c r="I188" s="236"/>
      <c r="J188" s="236"/>
      <c r="K188" s="236"/>
      <c r="L188" s="236"/>
    </row>
    <row r="189" spans="1:12" ht="15.6" hidden="1" customHeight="1" outlineLevel="1" x14ac:dyDescent="0.25">
      <c r="A189" s="236"/>
      <c r="B189" s="239" t="s">
        <v>114</v>
      </c>
      <c r="C189" s="239" t="s">
        <v>122</v>
      </c>
      <c r="D189" s="239" t="s">
        <v>120</v>
      </c>
      <c r="E189" s="245" t="s">
        <v>88</v>
      </c>
      <c r="F189" s="246">
        <v>0.502</v>
      </c>
      <c r="G189" s="247">
        <v>0.53200000000000003</v>
      </c>
      <c r="H189" s="248">
        <v>0.56600000000000006</v>
      </c>
      <c r="I189" s="249">
        <v>0.58199999999999996</v>
      </c>
      <c r="J189" s="248">
        <v>0.59399999999999997</v>
      </c>
      <c r="K189" s="247">
        <v>0.624</v>
      </c>
      <c r="L189" s="246">
        <v>0.64</v>
      </c>
    </row>
    <row r="190" spans="1:12" ht="15.6" hidden="1" customHeight="1" outlineLevel="1" x14ac:dyDescent="0.25">
      <c r="A190" s="236"/>
      <c r="B190" s="239" t="s">
        <v>114</v>
      </c>
      <c r="C190" s="239" t="s">
        <v>122</v>
      </c>
      <c r="D190" s="239" t="s">
        <v>120</v>
      </c>
      <c r="E190" s="245" t="s">
        <v>89</v>
      </c>
      <c r="F190" s="249"/>
      <c r="G190" s="249"/>
      <c r="H190" s="248">
        <v>7.0000000000000001E-3</v>
      </c>
      <c r="I190" s="249">
        <v>0.01</v>
      </c>
      <c r="J190" s="248">
        <v>1.2E-2</v>
      </c>
      <c r="K190" s="247">
        <v>1.9E-2</v>
      </c>
      <c r="L190" s="246">
        <v>2.6000000000000002E-2</v>
      </c>
    </row>
    <row r="191" spans="1:12" ht="15.6" hidden="1" customHeight="1" outlineLevel="1" x14ac:dyDescent="0.25">
      <c r="A191" s="236"/>
      <c r="B191" s="239" t="s">
        <v>114</v>
      </c>
      <c r="C191" s="239" t="s">
        <v>122</v>
      </c>
      <c r="D191" s="239" t="s">
        <v>120</v>
      </c>
      <c r="E191" s="245" t="s">
        <v>90</v>
      </c>
      <c r="F191" s="249"/>
      <c r="G191" s="249"/>
      <c r="H191" s="248">
        <v>6.4000000000000001E-2</v>
      </c>
      <c r="I191" s="249">
        <v>7.0000000000000007E-2</v>
      </c>
      <c r="J191" s="248">
        <v>7.9000000000000001E-2</v>
      </c>
      <c r="K191" s="247">
        <v>9.7000000000000003E-2</v>
      </c>
      <c r="L191" s="246">
        <v>0.114</v>
      </c>
    </row>
    <row r="192" spans="1:12" ht="15.6" hidden="1" customHeight="1" outlineLevel="1" x14ac:dyDescent="0.25">
      <c r="A192" s="236"/>
      <c r="B192" s="239" t="s">
        <v>114</v>
      </c>
      <c r="C192" s="239" t="s">
        <v>122</v>
      </c>
      <c r="D192" s="239" t="s">
        <v>120</v>
      </c>
      <c r="E192" s="245" t="s">
        <v>91</v>
      </c>
      <c r="F192" s="249"/>
      <c r="G192" s="249"/>
      <c r="H192" s="249"/>
      <c r="I192" s="249">
        <v>6.9000000000000006E-2</v>
      </c>
      <c r="J192" s="249"/>
      <c r="K192" s="247">
        <v>9.0999999999999998E-2</v>
      </c>
      <c r="L192" s="246">
        <v>0.105</v>
      </c>
    </row>
    <row r="193" spans="1:12" ht="15.6" hidden="1" customHeight="1" outlineLevel="1" x14ac:dyDescent="0.25">
      <c r="A193" s="236"/>
      <c r="B193" s="239" t="s">
        <v>114</v>
      </c>
      <c r="C193" s="239" t="s">
        <v>122</v>
      </c>
      <c r="D193" s="239" t="s">
        <v>120</v>
      </c>
      <c r="E193" s="245" t="s">
        <v>92</v>
      </c>
      <c r="F193" s="249"/>
      <c r="G193" s="249"/>
      <c r="H193" s="249"/>
      <c r="I193" s="249">
        <v>1.4999999999999999E-2</v>
      </c>
      <c r="J193" s="249"/>
      <c r="K193" s="247">
        <v>3.4000000000000002E-2</v>
      </c>
      <c r="L193" s="246">
        <v>5.7000000000000002E-2</v>
      </c>
    </row>
    <row r="194" spans="1:12" ht="15.6" hidden="1" customHeight="1" outlineLevel="1" x14ac:dyDescent="0.25">
      <c r="A194" s="236"/>
      <c r="B194" s="239" t="s">
        <v>114</v>
      </c>
      <c r="C194" s="239" t="s">
        <v>122</v>
      </c>
      <c r="D194" s="239" t="s">
        <v>120</v>
      </c>
      <c r="E194" s="245" t="s">
        <v>93</v>
      </c>
      <c r="F194" s="249"/>
      <c r="G194" s="249"/>
      <c r="H194" s="249"/>
      <c r="I194" s="249">
        <v>5.5E-2</v>
      </c>
      <c r="J194" s="249"/>
      <c r="K194" s="247">
        <v>7.5999999999999998E-2</v>
      </c>
      <c r="L194" s="246">
        <v>9.5000000000000001E-2</v>
      </c>
    </row>
    <row r="195" spans="1:12" ht="15.6" hidden="1" customHeight="1" outlineLevel="1" x14ac:dyDescent="0.25">
      <c r="A195" s="236"/>
      <c r="B195" s="239" t="s">
        <v>114</v>
      </c>
      <c r="C195" s="239" t="s">
        <v>122</v>
      </c>
      <c r="D195" s="239" t="s">
        <v>120</v>
      </c>
      <c r="E195" s="245" t="s">
        <v>94</v>
      </c>
      <c r="F195" s="246">
        <v>4.8000000000000001E-2</v>
      </c>
      <c r="G195" s="247">
        <v>5.8000000000000003E-2</v>
      </c>
      <c r="H195" s="248">
        <v>7.9000000000000001E-2</v>
      </c>
      <c r="I195" s="249">
        <v>8.7000000000000008E-2</v>
      </c>
      <c r="J195" s="248">
        <v>9.5000000000000001E-2</v>
      </c>
      <c r="K195" s="249"/>
      <c r="L195" s="249"/>
    </row>
    <row r="196" spans="1:12" ht="15.6" hidden="1" customHeight="1" outlineLevel="1" x14ac:dyDescent="0.25">
      <c r="A196" s="236"/>
      <c r="B196" s="239" t="s">
        <v>114</v>
      </c>
      <c r="C196" s="239" t="s">
        <v>122</v>
      </c>
      <c r="D196" s="239" t="s">
        <v>120</v>
      </c>
      <c r="E196" s="245" t="s">
        <v>95</v>
      </c>
      <c r="F196" s="249"/>
      <c r="G196" s="249"/>
      <c r="H196" s="249"/>
      <c r="I196" s="249">
        <v>1.4999999999999999E-2</v>
      </c>
      <c r="J196" s="249"/>
      <c r="K196" s="247">
        <v>1.9E-2</v>
      </c>
      <c r="L196" s="246">
        <v>2.1000000000000001E-2</v>
      </c>
    </row>
    <row r="197" spans="1:12" ht="15.6" hidden="1" customHeight="1" outlineLevel="1" x14ac:dyDescent="0.25">
      <c r="A197" s="236"/>
      <c r="B197" s="239" t="s">
        <v>114</v>
      </c>
      <c r="C197" s="239" t="s">
        <v>122</v>
      </c>
      <c r="D197" s="239" t="s">
        <v>120</v>
      </c>
      <c r="E197" s="245" t="s">
        <v>33</v>
      </c>
      <c r="F197" s="249"/>
      <c r="G197" s="249"/>
      <c r="H197" s="248">
        <v>5.6000000000000001E-2</v>
      </c>
      <c r="I197" s="249">
        <v>5.9000000000000004E-2</v>
      </c>
      <c r="J197" s="248">
        <v>6.2E-2</v>
      </c>
      <c r="K197" s="247">
        <v>7.2999999999999995E-2</v>
      </c>
      <c r="L197" s="246">
        <v>8.7999999999999995E-2</v>
      </c>
    </row>
    <row r="198" spans="1:12" ht="15.6" hidden="1" customHeight="1" outlineLevel="1" x14ac:dyDescent="0.25">
      <c r="A198" s="236"/>
      <c r="B198" s="239" t="s">
        <v>114</v>
      </c>
      <c r="C198" s="239" t="s">
        <v>122</v>
      </c>
      <c r="D198" s="239" t="s">
        <v>120</v>
      </c>
      <c r="E198" s="245" t="s">
        <v>4</v>
      </c>
      <c r="F198" s="250">
        <v>15.5</v>
      </c>
      <c r="G198" s="251">
        <v>16.100000000000001</v>
      </c>
      <c r="H198" s="252">
        <v>16.900000000000002</v>
      </c>
      <c r="I198" s="253">
        <v>17.3</v>
      </c>
      <c r="J198" s="252">
        <v>17.600000000000001</v>
      </c>
      <c r="K198" s="251">
        <v>18.5</v>
      </c>
      <c r="L198" s="250">
        <v>19.3</v>
      </c>
    </row>
    <row r="199" spans="1:12" ht="15.6" hidden="1" customHeight="1" outlineLevel="1" x14ac:dyDescent="0.25">
      <c r="A199" s="236"/>
      <c r="B199" s="239" t="s">
        <v>114</v>
      </c>
      <c r="C199" s="239" t="s">
        <v>122</v>
      </c>
      <c r="D199" s="239" t="s">
        <v>120</v>
      </c>
      <c r="E199" s="245" t="s">
        <v>14</v>
      </c>
      <c r="F199" s="250">
        <v>9.3000000000000007</v>
      </c>
      <c r="G199" s="251">
        <v>9.9</v>
      </c>
      <c r="H199" s="252">
        <v>10.4</v>
      </c>
      <c r="I199" s="253">
        <v>10.8</v>
      </c>
      <c r="J199" s="252">
        <v>11.100000000000001</v>
      </c>
      <c r="K199" s="251">
        <v>11.8</v>
      </c>
      <c r="L199" s="250">
        <v>12.5</v>
      </c>
    </row>
    <row r="200" spans="1:12" ht="15.6" hidden="1" customHeight="1" outlineLevel="1" x14ac:dyDescent="0.25">
      <c r="A200" s="236"/>
      <c r="B200" s="239" t="s">
        <v>114</v>
      </c>
      <c r="C200" s="239" t="s">
        <v>122</v>
      </c>
      <c r="D200" s="239" t="s">
        <v>120</v>
      </c>
      <c r="E200" s="245" t="s">
        <v>0</v>
      </c>
      <c r="F200" s="250">
        <v>19.700000000000003</v>
      </c>
      <c r="G200" s="251">
        <v>20.3</v>
      </c>
      <c r="H200" s="252">
        <v>21.200000000000003</v>
      </c>
      <c r="I200" s="253">
        <v>21.6</v>
      </c>
      <c r="J200" s="252">
        <v>22</v>
      </c>
      <c r="K200" s="251">
        <v>22.900000000000002</v>
      </c>
      <c r="L200" s="250">
        <v>23.700000000000003</v>
      </c>
    </row>
    <row r="201" spans="1:12" ht="15.6" hidden="1" customHeight="1" outlineLevel="1" x14ac:dyDescent="0.25">
      <c r="A201" s="236"/>
      <c r="B201" s="236"/>
      <c r="C201" s="236"/>
      <c r="D201" s="236"/>
      <c r="E201" s="236"/>
      <c r="F201" s="236"/>
      <c r="G201" s="236"/>
      <c r="H201" s="236"/>
      <c r="I201" s="236"/>
      <c r="J201" s="236"/>
      <c r="K201" s="236"/>
      <c r="L201" s="236"/>
    </row>
    <row r="202" spans="1:12" ht="15.75" collapsed="1" x14ac:dyDescent="0.25">
      <c r="A202" s="237">
        <v>206</v>
      </c>
      <c r="B202" s="239" t="s">
        <v>114</v>
      </c>
      <c r="C202" s="239" t="s">
        <v>123</v>
      </c>
      <c r="D202" s="239" t="s">
        <v>120</v>
      </c>
      <c r="E202" s="244" t="s">
        <v>201</v>
      </c>
      <c r="F202" s="236"/>
      <c r="G202" s="236"/>
      <c r="H202" s="236"/>
      <c r="I202" s="236"/>
      <c r="J202" s="236"/>
      <c r="K202" s="236"/>
      <c r="L202" s="236"/>
    </row>
    <row r="203" spans="1:12" ht="15.6" hidden="1" customHeight="1" outlineLevel="1" x14ac:dyDescent="0.25">
      <c r="A203" s="236"/>
      <c r="B203" s="239" t="s">
        <v>114</v>
      </c>
      <c r="C203" s="239" t="s">
        <v>123</v>
      </c>
      <c r="D203" s="239" t="s">
        <v>120</v>
      </c>
      <c r="E203" s="245" t="s">
        <v>88</v>
      </c>
      <c r="F203" s="246">
        <v>0.51</v>
      </c>
      <c r="G203" s="247">
        <v>0.53200000000000003</v>
      </c>
      <c r="H203" s="248">
        <v>0.56600000000000006</v>
      </c>
      <c r="I203" s="249">
        <v>0.58499999999999996</v>
      </c>
      <c r="J203" s="248">
        <v>0.59799999999999998</v>
      </c>
      <c r="K203" s="247">
        <v>0.61799999999999999</v>
      </c>
      <c r="L203" s="246">
        <v>0.63100000000000001</v>
      </c>
    </row>
    <row r="204" spans="1:12" ht="15.6" hidden="1" customHeight="1" outlineLevel="1" x14ac:dyDescent="0.25">
      <c r="A204" s="236"/>
      <c r="B204" s="239" t="s">
        <v>114</v>
      </c>
      <c r="C204" s="239" t="s">
        <v>123</v>
      </c>
      <c r="D204" s="239" t="s">
        <v>120</v>
      </c>
      <c r="E204" s="245" t="s">
        <v>89</v>
      </c>
      <c r="F204" s="249"/>
      <c r="G204" s="249"/>
      <c r="H204" s="248">
        <v>7.0000000000000001E-3</v>
      </c>
      <c r="I204" s="249">
        <v>0.01</v>
      </c>
      <c r="J204" s="248">
        <v>1.2E-2</v>
      </c>
      <c r="K204" s="247">
        <v>1.9E-2</v>
      </c>
      <c r="L204" s="246">
        <v>2.6000000000000002E-2</v>
      </c>
    </row>
    <row r="205" spans="1:12" ht="15.6" hidden="1" customHeight="1" outlineLevel="1" x14ac:dyDescent="0.25">
      <c r="A205" s="236"/>
      <c r="B205" s="239" t="s">
        <v>114</v>
      </c>
      <c r="C205" s="239" t="s">
        <v>123</v>
      </c>
      <c r="D205" s="239" t="s">
        <v>120</v>
      </c>
      <c r="E205" s="245" t="s">
        <v>90</v>
      </c>
      <c r="F205" s="249"/>
      <c r="G205" s="249"/>
      <c r="H205" s="248">
        <v>7.2000000000000008E-2</v>
      </c>
      <c r="I205" s="249">
        <v>8.3000000000000004E-2</v>
      </c>
      <c r="J205" s="248">
        <v>8.8999999999999996E-2</v>
      </c>
      <c r="K205" s="247">
        <v>0.105</v>
      </c>
      <c r="L205" s="246">
        <v>0.115</v>
      </c>
    </row>
    <row r="206" spans="1:12" ht="15.6" hidden="1" customHeight="1" outlineLevel="1" x14ac:dyDescent="0.25">
      <c r="A206" s="236"/>
      <c r="B206" s="239" t="s">
        <v>114</v>
      </c>
      <c r="C206" s="239" t="s">
        <v>123</v>
      </c>
      <c r="D206" s="239" t="s">
        <v>120</v>
      </c>
      <c r="E206" s="245" t="s">
        <v>91</v>
      </c>
      <c r="F206" s="249"/>
      <c r="G206" s="249"/>
      <c r="H206" s="249"/>
      <c r="I206" s="249">
        <v>6.5000000000000002E-2</v>
      </c>
      <c r="J206" s="249"/>
      <c r="K206" s="247">
        <v>8.7999999999999995E-2</v>
      </c>
      <c r="L206" s="246">
        <v>0.109</v>
      </c>
    </row>
    <row r="207" spans="1:12" ht="15.6" hidden="1" customHeight="1" outlineLevel="1" x14ac:dyDescent="0.25">
      <c r="A207" s="236"/>
      <c r="B207" s="239" t="s">
        <v>114</v>
      </c>
      <c r="C207" s="239" t="s">
        <v>123</v>
      </c>
      <c r="D207" s="239" t="s">
        <v>120</v>
      </c>
      <c r="E207" s="245" t="s">
        <v>92</v>
      </c>
      <c r="F207" s="249"/>
      <c r="G207" s="249"/>
      <c r="H207" s="249"/>
      <c r="I207" s="249">
        <v>1.3000000000000001E-2</v>
      </c>
      <c r="J207" s="249"/>
      <c r="K207" s="247">
        <v>2.6000000000000002E-2</v>
      </c>
      <c r="L207" s="246">
        <v>0.05</v>
      </c>
    </row>
    <row r="208" spans="1:12" ht="15.6" hidden="1" customHeight="1" outlineLevel="1" x14ac:dyDescent="0.25">
      <c r="A208" s="236"/>
      <c r="B208" s="239" t="s">
        <v>114</v>
      </c>
      <c r="C208" s="239" t="s">
        <v>123</v>
      </c>
      <c r="D208" s="239" t="s">
        <v>120</v>
      </c>
      <c r="E208" s="245" t="s">
        <v>93</v>
      </c>
      <c r="F208" s="249"/>
      <c r="G208" s="249"/>
      <c r="H208" s="249"/>
      <c r="I208" s="249">
        <v>5.5E-2</v>
      </c>
      <c r="J208" s="249"/>
      <c r="K208" s="247">
        <v>7.4999999999999997E-2</v>
      </c>
      <c r="L208" s="246">
        <v>9.2999999999999999E-2</v>
      </c>
    </row>
    <row r="209" spans="1:12" ht="15.6" hidden="1" customHeight="1" outlineLevel="1" x14ac:dyDescent="0.25">
      <c r="A209" s="236"/>
      <c r="B209" s="239" t="s">
        <v>114</v>
      </c>
      <c r="C209" s="239" t="s">
        <v>123</v>
      </c>
      <c r="D209" s="239" t="s">
        <v>120</v>
      </c>
      <c r="E209" s="245" t="s">
        <v>94</v>
      </c>
      <c r="F209" s="246">
        <v>4.9000000000000002E-2</v>
      </c>
      <c r="G209" s="247">
        <v>5.9000000000000004E-2</v>
      </c>
      <c r="H209" s="248">
        <v>7.1000000000000008E-2</v>
      </c>
      <c r="I209" s="249">
        <v>0.08</v>
      </c>
      <c r="J209" s="248">
        <v>0.09</v>
      </c>
      <c r="K209" s="249"/>
      <c r="L209" s="249"/>
    </row>
    <row r="210" spans="1:12" ht="15.6" hidden="1" customHeight="1" outlineLevel="1" x14ac:dyDescent="0.25">
      <c r="A210" s="236"/>
      <c r="B210" s="239" t="s">
        <v>114</v>
      </c>
      <c r="C210" s="239" t="s">
        <v>123</v>
      </c>
      <c r="D210" s="239" t="s">
        <v>120</v>
      </c>
      <c r="E210" s="245" t="s">
        <v>95</v>
      </c>
      <c r="F210" s="249"/>
      <c r="G210" s="249"/>
      <c r="H210" s="249"/>
      <c r="I210" s="249">
        <v>1.4999999999999999E-2</v>
      </c>
      <c r="J210" s="249"/>
      <c r="K210" s="247">
        <v>1.8000000000000002E-2</v>
      </c>
      <c r="L210" s="246">
        <v>0.02</v>
      </c>
    </row>
    <row r="211" spans="1:12" ht="15.6" hidden="1" customHeight="1" outlineLevel="1" x14ac:dyDescent="0.25">
      <c r="A211" s="236"/>
      <c r="B211" s="239" t="s">
        <v>114</v>
      </c>
      <c r="C211" s="239" t="s">
        <v>123</v>
      </c>
      <c r="D211" s="239" t="s">
        <v>120</v>
      </c>
      <c r="E211" s="245" t="s">
        <v>33</v>
      </c>
      <c r="F211" s="249"/>
      <c r="G211" s="249"/>
      <c r="H211" s="248">
        <v>5.2000000000000005E-2</v>
      </c>
      <c r="I211" s="249">
        <v>5.6000000000000001E-2</v>
      </c>
      <c r="J211" s="248">
        <v>5.9000000000000004E-2</v>
      </c>
      <c r="K211" s="247">
        <v>6.6000000000000003E-2</v>
      </c>
      <c r="L211" s="246">
        <v>8.3000000000000004E-2</v>
      </c>
    </row>
    <row r="212" spans="1:12" ht="15.6" hidden="1" customHeight="1" outlineLevel="1" x14ac:dyDescent="0.25">
      <c r="A212" s="236"/>
      <c r="B212" s="239" t="s">
        <v>114</v>
      </c>
      <c r="C212" s="239" t="s">
        <v>123</v>
      </c>
      <c r="D212" s="239" t="s">
        <v>120</v>
      </c>
      <c r="E212" s="245" t="s">
        <v>4</v>
      </c>
      <c r="F212" s="250">
        <v>15.700000000000001</v>
      </c>
      <c r="G212" s="251">
        <v>16.2</v>
      </c>
      <c r="H212" s="252">
        <v>16.900000000000002</v>
      </c>
      <c r="I212" s="253">
        <v>17.2</v>
      </c>
      <c r="J212" s="252">
        <v>17.5</v>
      </c>
      <c r="K212" s="251">
        <v>18.100000000000001</v>
      </c>
      <c r="L212" s="250">
        <v>19</v>
      </c>
    </row>
    <row r="213" spans="1:12" ht="15.6" hidden="1" customHeight="1" outlineLevel="1" x14ac:dyDescent="0.25">
      <c r="A213" s="236"/>
      <c r="B213" s="239" t="s">
        <v>114</v>
      </c>
      <c r="C213" s="239" t="s">
        <v>123</v>
      </c>
      <c r="D213" s="239" t="s">
        <v>120</v>
      </c>
      <c r="E213" s="245" t="s">
        <v>14</v>
      </c>
      <c r="F213" s="250">
        <v>9.5</v>
      </c>
      <c r="G213" s="251">
        <v>9.9</v>
      </c>
      <c r="H213" s="252">
        <v>10.4</v>
      </c>
      <c r="I213" s="253">
        <v>10.8</v>
      </c>
      <c r="J213" s="252">
        <v>11</v>
      </c>
      <c r="K213" s="251">
        <v>11.600000000000001</v>
      </c>
      <c r="L213" s="250">
        <v>12.200000000000001</v>
      </c>
    </row>
    <row r="214" spans="1:12" ht="15.6" hidden="1" customHeight="1" outlineLevel="1" x14ac:dyDescent="0.25">
      <c r="A214" s="236"/>
      <c r="B214" s="239" t="s">
        <v>114</v>
      </c>
      <c r="C214" s="239" t="s">
        <v>123</v>
      </c>
      <c r="D214" s="239" t="s">
        <v>120</v>
      </c>
      <c r="E214" s="245" t="s">
        <v>0</v>
      </c>
      <c r="F214" s="250">
        <v>19.900000000000002</v>
      </c>
      <c r="G214" s="251">
        <v>20.6</v>
      </c>
      <c r="H214" s="252">
        <v>21.3</v>
      </c>
      <c r="I214" s="253">
        <v>21.6</v>
      </c>
      <c r="J214" s="252">
        <v>22</v>
      </c>
      <c r="K214" s="251">
        <v>22.900000000000002</v>
      </c>
      <c r="L214" s="250">
        <v>23.5</v>
      </c>
    </row>
    <row r="215" spans="1:12" ht="15.6" hidden="1" customHeight="1" outlineLevel="1" x14ac:dyDescent="0.25">
      <c r="A215" s="236"/>
      <c r="B215" s="236"/>
      <c r="C215" s="236"/>
      <c r="D215" s="236"/>
      <c r="E215" s="236"/>
      <c r="F215" s="236"/>
      <c r="G215" s="236"/>
      <c r="H215" s="236"/>
      <c r="I215" s="236"/>
      <c r="J215" s="236"/>
      <c r="K215" s="236"/>
      <c r="L215" s="236"/>
    </row>
    <row r="216" spans="1:12" ht="15.75" collapsed="1" x14ac:dyDescent="0.25">
      <c r="A216" s="237">
        <v>36</v>
      </c>
      <c r="B216" s="239" t="s">
        <v>115</v>
      </c>
      <c r="C216" s="239" t="s">
        <v>121</v>
      </c>
      <c r="D216" s="239" t="s">
        <v>120</v>
      </c>
      <c r="E216" s="244" t="s">
        <v>202</v>
      </c>
      <c r="F216" s="236"/>
      <c r="G216" s="236"/>
      <c r="H216" s="236"/>
      <c r="I216" s="236"/>
      <c r="J216" s="236"/>
      <c r="K216" s="236"/>
      <c r="L216" s="236"/>
    </row>
    <row r="217" spans="1:12" ht="15.6" hidden="1" customHeight="1" outlineLevel="1" x14ac:dyDescent="0.25">
      <c r="A217" s="236"/>
      <c r="B217" s="239" t="s">
        <v>115</v>
      </c>
      <c r="C217" s="239" t="s">
        <v>121</v>
      </c>
      <c r="D217" s="239" t="s">
        <v>120</v>
      </c>
      <c r="E217" s="245" t="s">
        <v>88</v>
      </c>
      <c r="F217" s="246">
        <v>0.48499999999999999</v>
      </c>
      <c r="G217" s="247">
        <v>0.53700000000000003</v>
      </c>
      <c r="H217" s="248">
        <v>0.56500000000000006</v>
      </c>
      <c r="I217" s="249">
        <v>0.56900000000000006</v>
      </c>
      <c r="J217" s="248">
        <v>0.57600000000000007</v>
      </c>
      <c r="K217" s="247">
        <v>0.60199999999999998</v>
      </c>
      <c r="L217" s="246">
        <v>0.65400000000000003</v>
      </c>
    </row>
    <row r="218" spans="1:12" ht="15.6" hidden="1" customHeight="1" outlineLevel="1" x14ac:dyDescent="0.25">
      <c r="A218" s="236"/>
      <c r="B218" s="239" t="s">
        <v>115</v>
      </c>
      <c r="C218" s="239" t="s">
        <v>121</v>
      </c>
      <c r="D218" s="239" t="s">
        <v>120</v>
      </c>
      <c r="E218" s="245" t="s">
        <v>89</v>
      </c>
      <c r="F218" s="249"/>
      <c r="G218" s="249"/>
      <c r="H218" s="248">
        <v>1.0999999999999999E-2</v>
      </c>
      <c r="I218" s="249">
        <v>1.4E-2</v>
      </c>
      <c r="J218" s="248">
        <v>2.1000000000000001E-2</v>
      </c>
      <c r="K218" s="247">
        <v>2.7E-2</v>
      </c>
      <c r="L218" s="246">
        <v>3.5000000000000003E-2</v>
      </c>
    </row>
    <row r="219" spans="1:12" ht="15.6" hidden="1" customHeight="1" outlineLevel="1" x14ac:dyDescent="0.25">
      <c r="A219" s="236"/>
      <c r="B219" s="239" t="s">
        <v>115</v>
      </c>
      <c r="C219" s="239" t="s">
        <v>121</v>
      </c>
      <c r="D219" s="239" t="s">
        <v>120</v>
      </c>
      <c r="E219" s="245" t="s">
        <v>90</v>
      </c>
      <c r="F219" s="249"/>
      <c r="G219" s="249"/>
      <c r="H219" s="248">
        <v>8.5000000000000006E-2</v>
      </c>
      <c r="I219" s="249">
        <v>9.0999999999999998E-2</v>
      </c>
      <c r="J219" s="248">
        <v>0.10200000000000001</v>
      </c>
      <c r="K219" s="247">
        <v>0.11700000000000001</v>
      </c>
      <c r="L219" s="246">
        <v>0.13900000000000001</v>
      </c>
    </row>
    <row r="220" spans="1:12" ht="15.6" hidden="1" customHeight="1" outlineLevel="1" x14ac:dyDescent="0.25">
      <c r="A220" s="236"/>
      <c r="B220" s="239" t="s">
        <v>115</v>
      </c>
      <c r="C220" s="239" t="s">
        <v>121</v>
      </c>
      <c r="D220" s="239" t="s">
        <v>120</v>
      </c>
      <c r="E220" s="245" t="s">
        <v>91</v>
      </c>
      <c r="F220" s="249"/>
      <c r="G220" s="249"/>
      <c r="H220" s="249"/>
      <c r="I220" s="249">
        <v>5.6000000000000001E-2</v>
      </c>
      <c r="J220" s="249"/>
      <c r="K220" s="247">
        <v>8.2000000000000003E-2</v>
      </c>
      <c r="L220" s="246">
        <v>9.5000000000000001E-2</v>
      </c>
    </row>
    <row r="221" spans="1:12" ht="15.6" hidden="1" customHeight="1" outlineLevel="1" x14ac:dyDescent="0.25">
      <c r="A221" s="236"/>
      <c r="B221" s="239" t="s">
        <v>115</v>
      </c>
      <c r="C221" s="239" t="s">
        <v>121</v>
      </c>
      <c r="D221" s="239" t="s">
        <v>120</v>
      </c>
      <c r="E221" s="245" t="s">
        <v>92</v>
      </c>
      <c r="F221" s="249"/>
      <c r="G221" s="249"/>
      <c r="H221" s="249"/>
      <c r="I221" s="249">
        <v>1.8000000000000002E-2</v>
      </c>
      <c r="J221" s="249"/>
      <c r="K221" s="247">
        <v>3.5000000000000003E-2</v>
      </c>
      <c r="L221" s="246">
        <v>5.6000000000000001E-2</v>
      </c>
    </row>
    <row r="222" spans="1:12" ht="15.6" hidden="1" customHeight="1" outlineLevel="1" x14ac:dyDescent="0.25">
      <c r="A222" s="236"/>
      <c r="B222" s="239" t="s">
        <v>115</v>
      </c>
      <c r="C222" s="239" t="s">
        <v>121</v>
      </c>
      <c r="D222" s="239" t="s">
        <v>120</v>
      </c>
      <c r="E222" s="245" t="s">
        <v>93</v>
      </c>
      <c r="F222" s="249"/>
      <c r="G222" s="249"/>
      <c r="H222" s="249"/>
      <c r="I222" s="249">
        <v>6.3E-2</v>
      </c>
      <c r="J222" s="249"/>
      <c r="K222" s="247">
        <v>0.10100000000000001</v>
      </c>
      <c r="L222" s="246">
        <v>0.11700000000000001</v>
      </c>
    </row>
    <row r="223" spans="1:12" ht="15.6" hidden="1" customHeight="1" outlineLevel="1" x14ac:dyDescent="0.25">
      <c r="A223" s="236"/>
      <c r="B223" s="239" t="s">
        <v>115</v>
      </c>
      <c r="C223" s="239" t="s">
        <v>121</v>
      </c>
      <c r="D223" s="239" t="s">
        <v>120</v>
      </c>
      <c r="E223" s="245" t="s">
        <v>94</v>
      </c>
      <c r="F223" s="246">
        <v>3.6000000000000004E-2</v>
      </c>
      <c r="G223" s="247">
        <v>4.3000000000000003E-2</v>
      </c>
      <c r="H223" s="248">
        <v>5.5E-2</v>
      </c>
      <c r="I223" s="249">
        <v>6.9000000000000006E-2</v>
      </c>
      <c r="J223" s="248">
        <v>7.2999999999999995E-2</v>
      </c>
      <c r="K223" s="249"/>
      <c r="L223" s="249"/>
    </row>
    <row r="224" spans="1:12" ht="15.6" hidden="1" customHeight="1" outlineLevel="1" x14ac:dyDescent="0.25">
      <c r="A224" s="236"/>
      <c r="B224" s="239" t="s">
        <v>115</v>
      </c>
      <c r="C224" s="239" t="s">
        <v>121</v>
      </c>
      <c r="D224" s="239" t="s">
        <v>120</v>
      </c>
      <c r="E224" s="245" t="s">
        <v>95</v>
      </c>
      <c r="F224" s="249"/>
      <c r="G224" s="249"/>
      <c r="H224" s="249"/>
      <c r="I224" s="249">
        <v>1.4999999999999999E-2</v>
      </c>
      <c r="J224" s="249"/>
      <c r="K224" s="247">
        <v>2.1999999999999999E-2</v>
      </c>
      <c r="L224" s="246">
        <v>2.4E-2</v>
      </c>
    </row>
    <row r="225" spans="1:12" ht="15.6" hidden="1" customHeight="1" outlineLevel="1" x14ac:dyDescent="0.25">
      <c r="A225" s="236"/>
      <c r="B225" s="239" t="s">
        <v>115</v>
      </c>
      <c r="C225" s="239" t="s">
        <v>121</v>
      </c>
      <c r="D225" s="239" t="s">
        <v>120</v>
      </c>
      <c r="E225" s="245" t="s">
        <v>33</v>
      </c>
      <c r="F225" s="249"/>
      <c r="G225" s="249"/>
      <c r="H225" s="248">
        <v>6.6000000000000003E-2</v>
      </c>
      <c r="I225" s="249">
        <v>7.3999999999999996E-2</v>
      </c>
      <c r="J225" s="248">
        <v>8.2000000000000003E-2</v>
      </c>
      <c r="K225" s="247">
        <v>0.1</v>
      </c>
      <c r="L225" s="246">
        <v>0.126</v>
      </c>
    </row>
    <row r="226" spans="1:12" ht="15.6" hidden="1" customHeight="1" outlineLevel="1" x14ac:dyDescent="0.25">
      <c r="A226" s="236"/>
      <c r="B226" s="239" t="s">
        <v>115</v>
      </c>
      <c r="C226" s="239" t="s">
        <v>121</v>
      </c>
      <c r="D226" s="239" t="s">
        <v>120</v>
      </c>
      <c r="E226" s="245" t="s">
        <v>4</v>
      </c>
      <c r="F226" s="250">
        <v>13.9</v>
      </c>
      <c r="G226" s="251">
        <v>15.700000000000001</v>
      </c>
      <c r="H226" s="252">
        <v>17.7</v>
      </c>
      <c r="I226" s="253">
        <v>18.2</v>
      </c>
      <c r="J226" s="252">
        <v>18.900000000000002</v>
      </c>
      <c r="K226" s="251">
        <v>19.8</v>
      </c>
      <c r="L226" s="250">
        <v>20.400000000000002</v>
      </c>
    </row>
    <row r="227" spans="1:12" ht="15.6" hidden="1" customHeight="1" outlineLevel="1" x14ac:dyDescent="0.25">
      <c r="A227" s="236"/>
      <c r="B227" s="239" t="s">
        <v>115</v>
      </c>
      <c r="C227" s="239" t="s">
        <v>121</v>
      </c>
      <c r="D227" s="239" t="s">
        <v>120</v>
      </c>
      <c r="E227" s="245" t="s">
        <v>14</v>
      </c>
      <c r="F227" s="250">
        <v>7.8000000000000007</v>
      </c>
      <c r="G227" s="251">
        <v>8.8000000000000007</v>
      </c>
      <c r="H227" s="252">
        <v>9.8000000000000007</v>
      </c>
      <c r="I227" s="253">
        <v>10.3</v>
      </c>
      <c r="J227" s="252">
        <v>10.5</v>
      </c>
      <c r="K227" s="251">
        <v>11.4</v>
      </c>
      <c r="L227" s="250">
        <v>11.8</v>
      </c>
    </row>
    <row r="228" spans="1:12" ht="15.6" hidden="1" customHeight="1" outlineLevel="1" x14ac:dyDescent="0.25">
      <c r="A228" s="236"/>
      <c r="B228" s="239" t="s">
        <v>115</v>
      </c>
      <c r="C228" s="239" t="s">
        <v>121</v>
      </c>
      <c r="D228" s="239" t="s">
        <v>120</v>
      </c>
      <c r="E228" s="245" t="s">
        <v>0</v>
      </c>
      <c r="F228" s="250">
        <v>20.6</v>
      </c>
      <c r="G228" s="251">
        <v>21.3</v>
      </c>
      <c r="H228" s="252">
        <v>24.1</v>
      </c>
      <c r="I228" s="253">
        <v>24.900000000000002</v>
      </c>
      <c r="J228" s="252">
        <v>25.400000000000002</v>
      </c>
      <c r="K228" s="251">
        <v>26.8</v>
      </c>
      <c r="L228" s="250">
        <v>28.400000000000002</v>
      </c>
    </row>
    <row r="229" spans="1:12" ht="15.6" hidden="1" customHeight="1" outlineLevel="1" x14ac:dyDescent="0.25">
      <c r="A229" s="236"/>
      <c r="B229" s="236"/>
      <c r="C229" s="236"/>
      <c r="D229" s="236"/>
      <c r="E229" s="236"/>
      <c r="F229" s="236"/>
      <c r="G229" s="236"/>
      <c r="H229" s="236"/>
      <c r="I229" s="236"/>
      <c r="J229" s="236"/>
      <c r="K229" s="236"/>
      <c r="L229" s="236"/>
    </row>
    <row r="230" spans="1:12" ht="15.75" collapsed="1" x14ac:dyDescent="0.25">
      <c r="A230" s="237">
        <v>95</v>
      </c>
      <c r="B230" s="239" t="s">
        <v>115</v>
      </c>
      <c r="C230" s="239" t="s">
        <v>122</v>
      </c>
      <c r="D230" s="239" t="s">
        <v>120</v>
      </c>
      <c r="E230" s="244" t="s">
        <v>203</v>
      </c>
      <c r="F230" s="236"/>
      <c r="G230" s="236"/>
      <c r="H230" s="236"/>
      <c r="I230" s="236"/>
      <c r="J230" s="236"/>
      <c r="K230" s="236"/>
      <c r="L230" s="236"/>
    </row>
    <row r="231" spans="1:12" ht="15.6" hidden="1" customHeight="1" outlineLevel="1" x14ac:dyDescent="0.25">
      <c r="A231" s="236"/>
      <c r="B231" s="239" t="s">
        <v>115</v>
      </c>
      <c r="C231" s="239" t="s">
        <v>122</v>
      </c>
      <c r="D231" s="239" t="s">
        <v>120</v>
      </c>
      <c r="E231" s="245" t="s">
        <v>88</v>
      </c>
      <c r="F231" s="246">
        <v>0.50600000000000001</v>
      </c>
      <c r="G231" s="247">
        <v>0.53300000000000003</v>
      </c>
      <c r="H231" s="248">
        <v>0.56100000000000005</v>
      </c>
      <c r="I231" s="249">
        <v>0.57000000000000006</v>
      </c>
      <c r="J231" s="248">
        <v>0.57799999999999996</v>
      </c>
      <c r="K231" s="247">
        <v>0.60299999999999998</v>
      </c>
      <c r="L231" s="246">
        <v>0.62</v>
      </c>
    </row>
    <row r="232" spans="1:12" ht="15.6" hidden="1" customHeight="1" outlineLevel="1" x14ac:dyDescent="0.25">
      <c r="A232" s="236"/>
      <c r="B232" s="239" t="s">
        <v>115</v>
      </c>
      <c r="C232" s="239" t="s">
        <v>122</v>
      </c>
      <c r="D232" s="239" t="s">
        <v>120</v>
      </c>
      <c r="E232" s="245" t="s">
        <v>89</v>
      </c>
      <c r="F232" s="249"/>
      <c r="G232" s="249"/>
      <c r="H232" s="248">
        <v>1.3000000000000001E-2</v>
      </c>
      <c r="I232" s="249">
        <v>1.4999999999999999E-2</v>
      </c>
      <c r="J232" s="248">
        <v>1.8000000000000002E-2</v>
      </c>
      <c r="K232" s="247">
        <v>2.7E-2</v>
      </c>
      <c r="L232" s="246">
        <v>3.7999999999999999E-2</v>
      </c>
    </row>
    <row r="233" spans="1:12" ht="15.6" hidden="1" customHeight="1" outlineLevel="1" x14ac:dyDescent="0.25">
      <c r="A233" s="236"/>
      <c r="B233" s="239" t="s">
        <v>115</v>
      </c>
      <c r="C233" s="239" t="s">
        <v>122</v>
      </c>
      <c r="D233" s="239" t="s">
        <v>120</v>
      </c>
      <c r="E233" s="245" t="s">
        <v>90</v>
      </c>
      <c r="F233" s="249"/>
      <c r="G233" s="249"/>
      <c r="H233" s="248">
        <v>8.1000000000000003E-2</v>
      </c>
      <c r="I233" s="249">
        <v>8.7999999999999995E-2</v>
      </c>
      <c r="J233" s="248">
        <v>9.5000000000000001E-2</v>
      </c>
      <c r="K233" s="247">
        <v>0.124</v>
      </c>
      <c r="L233" s="246">
        <v>0.14200000000000002</v>
      </c>
    </row>
    <row r="234" spans="1:12" ht="15.6" hidden="1" customHeight="1" outlineLevel="1" x14ac:dyDescent="0.25">
      <c r="A234" s="236"/>
      <c r="B234" s="239" t="s">
        <v>115</v>
      </c>
      <c r="C234" s="239" t="s">
        <v>122</v>
      </c>
      <c r="D234" s="239" t="s">
        <v>120</v>
      </c>
      <c r="E234" s="245" t="s">
        <v>91</v>
      </c>
      <c r="F234" s="249"/>
      <c r="G234" s="249"/>
      <c r="H234" s="249"/>
      <c r="I234" s="249">
        <v>6.2E-2</v>
      </c>
      <c r="J234" s="249"/>
      <c r="K234" s="247">
        <v>8.6000000000000007E-2</v>
      </c>
      <c r="L234" s="246">
        <v>0.10200000000000001</v>
      </c>
    </row>
    <row r="235" spans="1:12" ht="15.6" hidden="1" customHeight="1" outlineLevel="1" x14ac:dyDescent="0.25">
      <c r="A235" s="236"/>
      <c r="B235" s="239" t="s">
        <v>115</v>
      </c>
      <c r="C235" s="239" t="s">
        <v>122</v>
      </c>
      <c r="D235" s="239" t="s">
        <v>120</v>
      </c>
      <c r="E235" s="245" t="s">
        <v>92</v>
      </c>
      <c r="F235" s="249"/>
      <c r="G235" s="249"/>
      <c r="H235" s="249"/>
      <c r="I235" s="249">
        <v>1.4999999999999999E-2</v>
      </c>
      <c r="J235" s="249"/>
      <c r="K235" s="247">
        <v>3.5000000000000003E-2</v>
      </c>
      <c r="L235" s="246">
        <v>4.7E-2</v>
      </c>
    </row>
    <row r="236" spans="1:12" ht="15.6" hidden="1" customHeight="1" outlineLevel="1" x14ac:dyDescent="0.25">
      <c r="A236" s="236"/>
      <c r="B236" s="239" t="s">
        <v>115</v>
      </c>
      <c r="C236" s="239" t="s">
        <v>122</v>
      </c>
      <c r="D236" s="239" t="s">
        <v>120</v>
      </c>
      <c r="E236" s="245" t="s">
        <v>93</v>
      </c>
      <c r="F236" s="249"/>
      <c r="G236" s="249"/>
      <c r="H236" s="249"/>
      <c r="I236" s="249">
        <v>6.3E-2</v>
      </c>
      <c r="J236" s="249"/>
      <c r="K236" s="247">
        <v>9.7000000000000003E-2</v>
      </c>
      <c r="L236" s="246">
        <v>0.121</v>
      </c>
    </row>
    <row r="237" spans="1:12" ht="15.6" hidden="1" customHeight="1" outlineLevel="1" x14ac:dyDescent="0.25">
      <c r="A237" s="236"/>
      <c r="B237" s="239" t="s">
        <v>115</v>
      </c>
      <c r="C237" s="239" t="s">
        <v>122</v>
      </c>
      <c r="D237" s="239" t="s">
        <v>120</v>
      </c>
      <c r="E237" s="245" t="s">
        <v>94</v>
      </c>
      <c r="F237" s="246">
        <v>0.04</v>
      </c>
      <c r="G237" s="247">
        <v>4.9000000000000002E-2</v>
      </c>
      <c r="H237" s="248">
        <v>6.2E-2</v>
      </c>
      <c r="I237" s="249">
        <v>6.9000000000000006E-2</v>
      </c>
      <c r="J237" s="248">
        <v>7.2999999999999995E-2</v>
      </c>
      <c r="K237" s="249"/>
      <c r="L237" s="249"/>
    </row>
    <row r="238" spans="1:12" ht="15.6" hidden="1" customHeight="1" outlineLevel="1" x14ac:dyDescent="0.25">
      <c r="A238" s="236"/>
      <c r="B238" s="239" t="s">
        <v>115</v>
      </c>
      <c r="C238" s="239" t="s">
        <v>122</v>
      </c>
      <c r="D238" s="239" t="s">
        <v>120</v>
      </c>
      <c r="E238" s="245" t="s">
        <v>95</v>
      </c>
      <c r="F238" s="249"/>
      <c r="G238" s="249"/>
      <c r="H238" s="249"/>
      <c r="I238" s="249">
        <v>1.4E-2</v>
      </c>
      <c r="J238" s="249"/>
      <c r="K238" s="247">
        <v>1.8000000000000002E-2</v>
      </c>
      <c r="L238" s="246">
        <v>0.02</v>
      </c>
    </row>
    <row r="239" spans="1:12" ht="15.6" hidden="1" customHeight="1" outlineLevel="1" x14ac:dyDescent="0.25">
      <c r="A239" s="236"/>
      <c r="B239" s="239" t="s">
        <v>115</v>
      </c>
      <c r="C239" s="239" t="s">
        <v>122</v>
      </c>
      <c r="D239" s="239" t="s">
        <v>120</v>
      </c>
      <c r="E239" s="245" t="s">
        <v>33</v>
      </c>
      <c r="F239" s="249"/>
      <c r="G239" s="249"/>
      <c r="H239" s="248">
        <v>5.8000000000000003E-2</v>
      </c>
      <c r="I239" s="249">
        <v>6.3E-2</v>
      </c>
      <c r="J239" s="248">
        <v>6.8000000000000005E-2</v>
      </c>
      <c r="K239" s="247">
        <v>0.09</v>
      </c>
      <c r="L239" s="246">
        <v>0.10300000000000001</v>
      </c>
    </row>
    <row r="240" spans="1:12" ht="15.6" hidden="1" customHeight="1" outlineLevel="1" x14ac:dyDescent="0.25">
      <c r="A240" s="236"/>
      <c r="B240" s="239" t="s">
        <v>115</v>
      </c>
      <c r="C240" s="239" t="s">
        <v>122</v>
      </c>
      <c r="D240" s="239" t="s">
        <v>120</v>
      </c>
      <c r="E240" s="245" t="s">
        <v>4</v>
      </c>
      <c r="F240" s="250">
        <v>15.8</v>
      </c>
      <c r="G240" s="251">
        <v>16.5</v>
      </c>
      <c r="H240" s="252">
        <v>17.2</v>
      </c>
      <c r="I240" s="253">
        <v>17.600000000000001</v>
      </c>
      <c r="J240" s="252">
        <v>18</v>
      </c>
      <c r="K240" s="251">
        <v>19.100000000000001</v>
      </c>
      <c r="L240" s="250">
        <v>20</v>
      </c>
    </row>
    <row r="241" spans="1:12" ht="15.6" hidden="1" customHeight="1" outlineLevel="1" x14ac:dyDescent="0.25">
      <c r="A241" s="236"/>
      <c r="B241" s="239" t="s">
        <v>115</v>
      </c>
      <c r="C241" s="239" t="s">
        <v>122</v>
      </c>
      <c r="D241" s="239" t="s">
        <v>120</v>
      </c>
      <c r="E241" s="245" t="s">
        <v>14</v>
      </c>
      <c r="F241" s="250">
        <v>8.9</v>
      </c>
      <c r="G241" s="251">
        <v>9.3000000000000007</v>
      </c>
      <c r="H241" s="252">
        <v>10.100000000000001</v>
      </c>
      <c r="I241" s="253">
        <v>10.4</v>
      </c>
      <c r="J241" s="252">
        <v>10.600000000000001</v>
      </c>
      <c r="K241" s="251">
        <v>11.3</v>
      </c>
      <c r="L241" s="250">
        <v>12</v>
      </c>
    </row>
    <row r="242" spans="1:12" ht="15.6" hidden="1" customHeight="1" outlineLevel="1" x14ac:dyDescent="0.25">
      <c r="A242" s="236"/>
      <c r="B242" s="239" t="s">
        <v>115</v>
      </c>
      <c r="C242" s="239" t="s">
        <v>122</v>
      </c>
      <c r="D242" s="239" t="s">
        <v>120</v>
      </c>
      <c r="E242" s="245" t="s">
        <v>0</v>
      </c>
      <c r="F242" s="250">
        <v>22.3</v>
      </c>
      <c r="G242" s="251">
        <v>22.900000000000002</v>
      </c>
      <c r="H242" s="252">
        <v>23.700000000000003</v>
      </c>
      <c r="I242" s="253">
        <v>24.3</v>
      </c>
      <c r="J242" s="252">
        <v>24.700000000000003</v>
      </c>
      <c r="K242" s="251">
        <v>25.700000000000003</v>
      </c>
      <c r="L242" s="250">
        <v>26.700000000000003</v>
      </c>
    </row>
    <row r="243" spans="1:12" ht="15.6" hidden="1" customHeight="1" outlineLevel="1" x14ac:dyDescent="0.25">
      <c r="A243" s="236"/>
      <c r="B243" s="236"/>
      <c r="C243" s="236"/>
      <c r="D243" s="236"/>
      <c r="E243" s="236"/>
      <c r="F243" s="236"/>
      <c r="G243" s="236"/>
      <c r="H243" s="236"/>
      <c r="I243" s="236"/>
      <c r="J243" s="236"/>
      <c r="K243" s="236"/>
      <c r="L243" s="236"/>
    </row>
    <row r="244" spans="1:12" ht="15.75" collapsed="1" x14ac:dyDescent="0.25">
      <c r="A244" s="237">
        <v>65</v>
      </c>
      <c r="B244" s="239" t="s">
        <v>115</v>
      </c>
      <c r="C244" s="239" t="s">
        <v>123</v>
      </c>
      <c r="D244" s="239" t="s">
        <v>120</v>
      </c>
      <c r="E244" s="244" t="s">
        <v>204</v>
      </c>
      <c r="F244" s="236"/>
      <c r="G244" s="236"/>
      <c r="H244" s="236"/>
      <c r="I244" s="236"/>
      <c r="J244" s="236"/>
      <c r="K244" s="236"/>
      <c r="L244" s="236"/>
    </row>
    <row r="245" spans="1:12" ht="15.6" hidden="1" customHeight="1" outlineLevel="1" x14ac:dyDescent="0.25">
      <c r="A245" s="236"/>
      <c r="B245" s="239" t="s">
        <v>115</v>
      </c>
      <c r="C245" s="239" t="s">
        <v>123</v>
      </c>
      <c r="D245" s="239" t="s">
        <v>120</v>
      </c>
      <c r="E245" s="245" t="s">
        <v>88</v>
      </c>
      <c r="F245" s="246">
        <v>0.498</v>
      </c>
      <c r="G245" s="247">
        <v>0.51300000000000001</v>
      </c>
      <c r="H245" s="248">
        <v>0.55700000000000005</v>
      </c>
      <c r="I245" s="249">
        <v>0.56600000000000006</v>
      </c>
      <c r="J245" s="248">
        <v>0.57200000000000006</v>
      </c>
      <c r="K245" s="247">
        <v>0.60099999999999998</v>
      </c>
      <c r="L245" s="246">
        <v>0.61799999999999999</v>
      </c>
    </row>
    <row r="246" spans="1:12" ht="15.6" hidden="1" customHeight="1" outlineLevel="1" x14ac:dyDescent="0.25">
      <c r="A246" s="236"/>
      <c r="B246" s="239" t="s">
        <v>115</v>
      </c>
      <c r="C246" s="239" t="s">
        <v>123</v>
      </c>
      <c r="D246" s="239" t="s">
        <v>120</v>
      </c>
      <c r="E246" s="245" t="s">
        <v>89</v>
      </c>
      <c r="F246" s="249"/>
      <c r="G246" s="249"/>
      <c r="H246" s="248">
        <v>0.01</v>
      </c>
      <c r="I246" s="249">
        <v>1.3000000000000001E-2</v>
      </c>
      <c r="J246" s="248">
        <v>1.7000000000000001E-2</v>
      </c>
      <c r="K246" s="247">
        <v>2.5000000000000001E-2</v>
      </c>
      <c r="L246" s="246">
        <v>0.03</v>
      </c>
    </row>
    <row r="247" spans="1:12" ht="15.6" hidden="1" customHeight="1" outlineLevel="1" x14ac:dyDescent="0.25">
      <c r="A247" s="236"/>
      <c r="B247" s="239" t="s">
        <v>115</v>
      </c>
      <c r="C247" s="239" t="s">
        <v>123</v>
      </c>
      <c r="D247" s="239" t="s">
        <v>120</v>
      </c>
      <c r="E247" s="245" t="s">
        <v>90</v>
      </c>
      <c r="F247" s="249"/>
      <c r="G247" s="249"/>
      <c r="H247" s="248">
        <v>8.7000000000000008E-2</v>
      </c>
      <c r="I247" s="249">
        <v>9.1999999999999998E-2</v>
      </c>
      <c r="J247" s="248">
        <v>0.10200000000000001</v>
      </c>
      <c r="K247" s="247">
        <v>0.113</v>
      </c>
      <c r="L247" s="246">
        <v>0.128</v>
      </c>
    </row>
    <row r="248" spans="1:12" ht="15.6" hidden="1" customHeight="1" outlineLevel="1" x14ac:dyDescent="0.25">
      <c r="A248" s="236"/>
      <c r="B248" s="239" t="s">
        <v>115</v>
      </c>
      <c r="C248" s="239" t="s">
        <v>123</v>
      </c>
      <c r="D248" s="239" t="s">
        <v>120</v>
      </c>
      <c r="E248" s="245" t="s">
        <v>91</v>
      </c>
      <c r="F248" s="249"/>
      <c r="G248" s="249"/>
      <c r="H248" s="249"/>
      <c r="I248" s="249">
        <v>5.1000000000000004E-2</v>
      </c>
      <c r="J248" s="249"/>
      <c r="K248" s="247">
        <v>7.6999999999999999E-2</v>
      </c>
      <c r="L248" s="246">
        <v>9.0999999999999998E-2</v>
      </c>
    </row>
    <row r="249" spans="1:12" ht="15.6" hidden="1" customHeight="1" outlineLevel="1" x14ac:dyDescent="0.25">
      <c r="A249" s="236"/>
      <c r="B249" s="239" t="s">
        <v>115</v>
      </c>
      <c r="C249" s="239" t="s">
        <v>123</v>
      </c>
      <c r="D249" s="239" t="s">
        <v>120</v>
      </c>
      <c r="E249" s="245" t="s">
        <v>92</v>
      </c>
      <c r="F249" s="249"/>
      <c r="G249" s="249"/>
      <c r="H249" s="249"/>
      <c r="I249" s="249">
        <v>2.1999999999999999E-2</v>
      </c>
      <c r="J249" s="249"/>
      <c r="K249" s="247">
        <v>0.04</v>
      </c>
      <c r="L249" s="246">
        <v>6.2E-2</v>
      </c>
    </row>
    <row r="250" spans="1:12" ht="15.6" hidden="1" customHeight="1" outlineLevel="1" x14ac:dyDescent="0.25">
      <c r="A250" s="236"/>
      <c r="B250" s="239" t="s">
        <v>115</v>
      </c>
      <c r="C250" s="239" t="s">
        <v>123</v>
      </c>
      <c r="D250" s="239" t="s">
        <v>120</v>
      </c>
      <c r="E250" s="245" t="s">
        <v>93</v>
      </c>
      <c r="F250" s="249"/>
      <c r="G250" s="249"/>
      <c r="H250" s="249"/>
      <c r="I250" s="249">
        <v>7.5999999999999998E-2</v>
      </c>
      <c r="J250" s="249"/>
      <c r="K250" s="247">
        <v>0.11700000000000001</v>
      </c>
      <c r="L250" s="246">
        <v>0.13800000000000001</v>
      </c>
    </row>
    <row r="251" spans="1:12" ht="15.6" hidden="1" customHeight="1" outlineLevel="1" x14ac:dyDescent="0.25">
      <c r="A251" s="236"/>
      <c r="B251" s="239" t="s">
        <v>115</v>
      </c>
      <c r="C251" s="239" t="s">
        <v>123</v>
      </c>
      <c r="D251" s="239" t="s">
        <v>120</v>
      </c>
      <c r="E251" s="245" t="s">
        <v>94</v>
      </c>
      <c r="F251" s="246">
        <v>4.3999999999999997E-2</v>
      </c>
      <c r="G251" s="247">
        <v>5.2999999999999999E-2</v>
      </c>
      <c r="H251" s="248">
        <v>6.8000000000000005E-2</v>
      </c>
      <c r="I251" s="249">
        <v>7.5999999999999998E-2</v>
      </c>
      <c r="J251" s="248">
        <v>8.4000000000000005E-2</v>
      </c>
      <c r="K251" s="249"/>
      <c r="L251" s="249"/>
    </row>
    <row r="252" spans="1:12" ht="15.6" hidden="1" customHeight="1" outlineLevel="1" x14ac:dyDescent="0.25">
      <c r="A252" s="236"/>
      <c r="B252" s="239" t="s">
        <v>115</v>
      </c>
      <c r="C252" s="239" t="s">
        <v>123</v>
      </c>
      <c r="D252" s="239" t="s">
        <v>120</v>
      </c>
      <c r="E252" s="245" t="s">
        <v>95</v>
      </c>
      <c r="F252" s="249"/>
      <c r="G252" s="249"/>
      <c r="H252" s="249"/>
      <c r="I252" s="249">
        <v>1.4E-2</v>
      </c>
      <c r="J252" s="249"/>
      <c r="K252" s="247">
        <v>1.7000000000000001E-2</v>
      </c>
      <c r="L252" s="246">
        <v>1.9E-2</v>
      </c>
    </row>
    <row r="253" spans="1:12" ht="15.6" hidden="1" customHeight="1" outlineLevel="1" x14ac:dyDescent="0.25">
      <c r="A253" s="236"/>
      <c r="B253" s="239" t="s">
        <v>115</v>
      </c>
      <c r="C253" s="239" t="s">
        <v>123</v>
      </c>
      <c r="D253" s="239" t="s">
        <v>120</v>
      </c>
      <c r="E253" s="245" t="s">
        <v>33</v>
      </c>
      <c r="F253" s="249"/>
      <c r="G253" s="249"/>
      <c r="H253" s="248">
        <v>5.1000000000000004E-2</v>
      </c>
      <c r="I253" s="249">
        <v>5.6000000000000001E-2</v>
      </c>
      <c r="J253" s="248">
        <v>6.0999999999999999E-2</v>
      </c>
      <c r="K253" s="247">
        <v>0.08</v>
      </c>
      <c r="L253" s="246">
        <v>8.6000000000000007E-2</v>
      </c>
    </row>
    <row r="254" spans="1:12" ht="15.6" hidden="1" customHeight="1" outlineLevel="1" x14ac:dyDescent="0.25">
      <c r="A254" s="236"/>
      <c r="B254" s="239" t="s">
        <v>115</v>
      </c>
      <c r="C254" s="239" t="s">
        <v>123</v>
      </c>
      <c r="D254" s="239" t="s">
        <v>120</v>
      </c>
      <c r="E254" s="245" t="s">
        <v>4</v>
      </c>
      <c r="F254" s="250">
        <v>15.5</v>
      </c>
      <c r="G254" s="251">
        <v>16.100000000000001</v>
      </c>
      <c r="H254" s="252">
        <v>16.8</v>
      </c>
      <c r="I254" s="253">
        <v>17</v>
      </c>
      <c r="J254" s="252">
        <v>17.400000000000002</v>
      </c>
      <c r="K254" s="251">
        <v>18.3</v>
      </c>
      <c r="L254" s="250">
        <v>19.3</v>
      </c>
    </row>
    <row r="255" spans="1:12" ht="15.6" hidden="1" customHeight="1" outlineLevel="1" x14ac:dyDescent="0.25">
      <c r="A255" s="236"/>
      <c r="B255" s="239" t="s">
        <v>115</v>
      </c>
      <c r="C255" s="239" t="s">
        <v>123</v>
      </c>
      <c r="D255" s="239" t="s">
        <v>120</v>
      </c>
      <c r="E255" s="245" t="s">
        <v>14</v>
      </c>
      <c r="F255" s="250">
        <v>9</v>
      </c>
      <c r="G255" s="251">
        <v>9.3000000000000007</v>
      </c>
      <c r="H255" s="252">
        <v>10.100000000000001</v>
      </c>
      <c r="I255" s="253">
        <v>10.3</v>
      </c>
      <c r="J255" s="252">
        <v>10.4</v>
      </c>
      <c r="K255" s="251">
        <v>11</v>
      </c>
      <c r="L255" s="250">
        <v>11.5</v>
      </c>
    </row>
    <row r="256" spans="1:12" ht="15.6" hidden="1" customHeight="1" outlineLevel="1" x14ac:dyDescent="0.25">
      <c r="A256" s="236"/>
      <c r="B256" s="239" t="s">
        <v>115</v>
      </c>
      <c r="C256" s="239" t="s">
        <v>123</v>
      </c>
      <c r="D256" s="239" t="s">
        <v>120</v>
      </c>
      <c r="E256" s="245" t="s">
        <v>0</v>
      </c>
      <c r="F256" s="250">
        <v>22.6</v>
      </c>
      <c r="G256" s="251">
        <v>23</v>
      </c>
      <c r="H256" s="252">
        <v>23.8</v>
      </c>
      <c r="I256" s="253">
        <v>24.200000000000003</v>
      </c>
      <c r="J256" s="252">
        <v>24.400000000000002</v>
      </c>
      <c r="K256" s="251">
        <v>25.1</v>
      </c>
      <c r="L256" s="250">
        <v>25.900000000000002</v>
      </c>
    </row>
    <row r="257" spans="1:12" ht="15.6" hidden="1" customHeight="1" outlineLevel="1" x14ac:dyDescent="0.25">
      <c r="A257" s="236"/>
      <c r="B257" s="236"/>
      <c r="C257" s="236"/>
      <c r="D257" s="236"/>
      <c r="E257" s="236"/>
      <c r="F257" s="236"/>
      <c r="G257" s="236"/>
      <c r="H257" s="236"/>
      <c r="I257" s="236"/>
      <c r="J257" s="236"/>
      <c r="K257" s="236"/>
      <c r="L257" s="236"/>
    </row>
    <row r="258" spans="1:12" ht="15.75" collapsed="1" x14ac:dyDescent="0.25">
      <c r="A258" s="237">
        <v>278</v>
      </c>
      <c r="B258" s="239" t="s">
        <v>114</v>
      </c>
      <c r="C258" s="239" t="s">
        <v>121</v>
      </c>
      <c r="D258" s="239" t="s">
        <v>124</v>
      </c>
      <c r="E258" s="244" t="s">
        <v>205</v>
      </c>
      <c r="F258" s="236"/>
      <c r="G258" s="236"/>
      <c r="H258" s="236"/>
      <c r="I258" s="236"/>
      <c r="J258" s="236"/>
      <c r="K258" s="236"/>
      <c r="L258" s="236"/>
    </row>
    <row r="259" spans="1:12" ht="15.6" hidden="1" customHeight="1" outlineLevel="1" x14ac:dyDescent="0.25">
      <c r="A259" s="236"/>
      <c r="B259" s="239" t="s">
        <v>114</v>
      </c>
      <c r="C259" s="239" t="s">
        <v>121</v>
      </c>
      <c r="D259" s="239" t="s">
        <v>124</v>
      </c>
      <c r="E259" s="245" t="s">
        <v>88</v>
      </c>
      <c r="F259" s="246">
        <v>0.45800000000000002</v>
      </c>
      <c r="G259" s="247">
        <v>0.496</v>
      </c>
      <c r="H259" s="248">
        <v>0.53800000000000003</v>
      </c>
      <c r="I259" s="249">
        <v>0.55300000000000005</v>
      </c>
      <c r="J259" s="248">
        <v>0.56800000000000006</v>
      </c>
      <c r="K259" s="247">
        <v>0.60599999999999998</v>
      </c>
      <c r="L259" s="246">
        <v>0.64200000000000002</v>
      </c>
    </row>
    <row r="260" spans="1:12" ht="15.6" hidden="1" customHeight="1" outlineLevel="1" x14ac:dyDescent="0.25">
      <c r="A260" s="236"/>
      <c r="B260" s="239" t="s">
        <v>114</v>
      </c>
      <c r="C260" s="239" t="s">
        <v>121</v>
      </c>
      <c r="D260" s="239" t="s">
        <v>124</v>
      </c>
      <c r="E260" s="245" t="s">
        <v>89</v>
      </c>
      <c r="F260" s="249"/>
      <c r="G260" s="249"/>
      <c r="H260" s="248">
        <v>1.3000000000000001E-2</v>
      </c>
      <c r="I260" s="249">
        <v>1.7000000000000001E-2</v>
      </c>
      <c r="J260" s="248">
        <v>2.1000000000000001E-2</v>
      </c>
      <c r="K260" s="247">
        <v>3.2000000000000001E-2</v>
      </c>
      <c r="L260" s="246">
        <v>4.3999999999999997E-2</v>
      </c>
    </row>
    <row r="261" spans="1:12" ht="15.6" hidden="1" customHeight="1" outlineLevel="1" x14ac:dyDescent="0.25">
      <c r="A261" s="236"/>
      <c r="B261" s="239" t="s">
        <v>114</v>
      </c>
      <c r="C261" s="239" t="s">
        <v>121</v>
      </c>
      <c r="D261" s="239" t="s">
        <v>124</v>
      </c>
      <c r="E261" s="245" t="s">
        <v>90</v>
      </c>
      <c r="F261" s="249"/>
      <c r="G261" s="249"/>
      <c r="H261" s="248">
        <v>6.8000000000000005E-2</v>
      </c>
      <c r="I261" s="249">
        <v>7.8E-2</v>
      </c>
      <c r="J261" s="248">
        <v>8.8999999999999996E-2</v>
      </c>
      <c r="K261" s="247">
        <v>0.114</v>
      </c>
      <c r="L261" s="246">
        <v>0.13200000000000001</v>
      </c>
    </row>
    <row r="262" spans="1:12" ht="15.6" hidden="1" customHeight="1" outlineLevel="1" x14ac:dyDescent="0.25">
      <c r="A262" s="236"/>
      <c r="B262" s="239" t="s">
        <v>114</v>
      </c>
      <c r="C262" s="239" t="s">
        <v>121</v>
      </c>
      <c r="D262" s="239" t="s">
        <v>124</v>
      </c>
      <c r="E262" s="245" t="s">
        <v>91</v>
      </c>
      <c r="F262" s="249"/>
      <c r="G262" s="249"/>
      <c r="H262" s="249"/>
      <c r="I262" s="249">
        <v>7.2000000000000008E-2</v>
      </c>
      <c r="J262" s="249"/>
      <c r="K262" s="247">
        <v>0.107</v>
      </c>
      <c r="L262" s="246">
        <v>0.13100000000000001</v>
      </c>
    </row>
    <row r="263" spans="1:12" ht="15.6" hidden="1" customHeight="1" outlineLevel="1" x14ac:dyDescent="0.25">
      <c r="A263" s="236"/>
      <c r="B263" s="239" t="s">
        <v>114</v>
      </c>
      <c r="C263" s="239" t="s">
        <v>121</v>
      </c>
      <c r="D263" s="239" t="s">
        <v>124</v>
      </c>
      <c r="E263" s="245" t="s">
        <v>92</v>
      </c>
      <c r="F263" s="249"/>
      <c r="G263" s="249"/>
      <c r="H263" s="249"/>
      <c r="I263" s="249">
        <v>1.4999999999999999E-2</v>
      </c>
      <c r="J263" s="249"/>
      <c r="K263" s="247">
        <v>3.3000000000000002E-2</v>
      </c>
      <c r="L263" s="246">
        <v>4.7E-2</v>
      </c>
    </row>
    <row r="264" spans="1:12" ht="15.6" hidden="1" customHeight="1" outlineLevel="1" x14ac:dyDescent="0.25">
      <c r="A264" s="236"/>
      <c r="B264" s="239" t="s">
        <v>114</v>
      </c>
      <c r="C264" s="239" t="s">
        <v>121</v>
      </c>
      <c r="D264" s="239" t="s">
        <v>124</v>
      </c>
      <c r="E264" s="245" t="s">
        <v>93</v>
      </c>
      <c r="F264" s="249"/>
      <c r="G264" s="249"/>
      <c r="H264" s="249"/>
      <c r="I264" s="249">
        <v>6.3E-2</v>
      </c>
      <c r="J264" s="249"/>
      <c r="K264" s="247">
        <v>9.4E-2</v>
      </c>
      <c r="L264" s="246">
        <v>0.11600000000000001</v>
      </c>
    </row>
    <row r="265" spans="1:12" ht="15.6" hidden="1" customHeight="1" outlineLevel="1" x14ac:dyDescent="0.25">
      <c r="A265" s="236"/>
      <c r="B265" s="239" t="s">
        <v>114</v>
      </c>
      <c r="C265" s="239" t="s">
        <v>121</v>
      </c>
      <c r="D265" s="239" t="s">
        <v>124</v>
      </c>
      <c r="E265" s="245" t="s">
        <v>94</v>
      </c>
      <c r="F265" s="246">
        <v>0.04</v>
      </c>
      <c r="G265" s="247">
        <v>4.8000000000000001E-2</v>
      </c>
      <c r="H265" s="248">
        <v>0.06</v>
      </c>
      <c r="I265" s="249">
        <v>6.3E-2</v>
      </c>
      <c r="J265" s="248">
        <v>6.9000000000000006E-2</v>
      </c>
      <c r="K265" s="249"/>
      <c r="L265" s="249"/>
    </row>
    <row r="266" spans="1:12" ht="15.6" hidden="1" customHeight="1" outlineLevel="1" x14ac:dyDescent="0.25">
      <c r="A266" s="236"/>
      <c r="B266" s="239" t="s">
        <v>114</v>
      </c>
      <c r="C266" s="239" t="s">
        <v>121</v>
      </c>
      <c r="D266" s="239" t="s">
        <v>124</v>
      </c>
      <c r="E266" s="245" t="s">
        <v>95</v>
      </c>
      <c r="F266" s="249"/>
      <c r="G266" s="249"/>
      <c r="H266" s="249"/>
      <c r="I266" s="249">
        <v>1.8000000000000002E-2</v>
      </c>
      <c r="J266" s="249"/>
      <c r="K266" s="247">
        <v>2.6000000000000002E-2</v>
      </c>
      <c r="L266" s="246">
        <v>3.1E-2</v>
      </c>
    </row>
    <row r="267" spans="1:12" ht="15.6" hidden="1" customHeight="1" outlineLevel="1" x14ac:dyDescent="0.25">
      <c r="A267" s="236"/>
      <c r="B267" s="239" t="s">
        <v>114</v>
      </c>
      <c r="C267" s="239" t="s">
        <v>121</v>
      </c>
      <c r="D267" s="239" t="s">
        <v>124</v>
      </c>
      <c r="E267" s="245" t="s">
        <v>33</v>
      </c>
      <c r="F267" s="249"/>
      <c r="G267" s="249"/>
      <c r="H267" s="248">
        <v>7.2000000000000008E-2</v>
      </c>
      <c r="I267" s="249">
        <v>7.6999999999999999E-2</v>
      </c>
      <c r="J267" s="248">
        <v>8.7000000000000008E-2</v>
      </c>
      <c r="K267" s="247">
        <v>0.11</v>
      </c>
      <c r="L267" s="246">
        <v>0.15</v>
      </c>
    </row>
    <row r="268" spans="1:12" ht="15.6" hidden="1" customHeight="1" outlineLevel="1" x14ac:dyDescent="0.25">
      <c r="A268" s="236"/>
      <c r="B268" s="239" t="s">
        <v>114</v>
      </c>
      <c r="C268" s="239" t="s">
        <v>121</v>
      </c>
      <c r="D268" s="239" t="s">
        <v>124</v>
      </c>
      <c r="E268" s="245" t="s">
        <v>4</v>
      </c>
      <c r="F268" s="250">
        <v>12.600000000000001</v>
      </c>
      <c r="G268" s="251">
        <v>13.600000000000001</v>
      </c>
      <c r="H268" s="252">
        <v>15.100000000000001</v>
      </c>
      <c r="I268" s="253">
        <v>15.600000000000001</v>
      </c>
      <c r="J268" s="252">
        <v>16.100000000000001</v>
      </c>
      <c r="K268" s="251">
        <v>17.400000000000002</v>
      </c>
      <c r="L268" s="250">
        <v>18.7</v>
      </c>
    </row>
    <row r="269" spans="1:12" ht="15.6" hidden="1" customHeight="1" outlineLevel="1" x14ac:dyDescent="0.25">
      <c r="A269" s="236"/>
      <c r="B269" s="239" t="s">
        <v>114</v>
      </c>
      <c r="C269" s="239" t="s">
        <v>121</v>
      </c>
      <c r="D269" s="239" t="s">
        <v>124</v>
      </c>
      <c r="E269" s="245" t="s">
        <v>14</v>
      </c>
      <c r="F269" s="250">
        <v>7.4</v>
      </c>
      <c r="G269" s="251">
        <v>8.3000000000000007</v>
      </c>
      <c r="H269" s="252">
        <v>9.2000000000000011</v>
      </c>
      <c r="I269" s="253">
        <v>9.4</v>
      </c>
      <c r="J269" s="252">
        <v>9.8000000000000007</v>
      </c>
      <c r="K269" s="251">
        <v>10.8</v>
      </c>
      <c r="L269" s="250">
        <v>11.700000000000001</v>
      </c>
    </row>
    <row r="270" spans="1:12" ht="15.6" hidden="1" customHeight="1" outlineLevel="1" x14ac:dyDescent="0.25">
      <c r="A270" s="236"/>
      <c r="B270" s="239" t="s">
        <v>114</v>
      </c>
      <c r="C270" s="239" t="s">
        <v>121</v>
      </c>
      <c r="D270" s="239" t="s">
        <v>124</v>
      </c>
      <c r="E270" s="245" t="s">
        <v>0</v>
      </c>
      <c r="F270" s="250">
        <v>15.9</v>
      </c>
      <c r="G270" s="251">
        <v>18</v>
      </c>
      <c r="H270" s="252">
        <v>19.900000000000002</v>
      </c>
      <c r="I270" s="253">
        <v>20.700000000000003</v>
      </c>
      <c r="J270" s="252">
        <v>21.6</v>
      </c>
      <c r="K270" s="251">
        <v>23.5</v>
      </c>
      <c r="L270" s="250">
        <v>24.8</v>
      </c>
    </row>
    <row r="271" spans="1:12" ht="15.6" hidden="1" customHeight="1" outlineLevel="1" x14ac:dyDescent="0.25">
      <c r="A271" s="236"/>
      <c r="B271" s="236"/>
      <c r="C271" s="236"/>
      <c r="D271" s="236"/>
      <c r="E271" s="236"/>
      <c r="F271" s="236"/>
      <c r="G271" s="236"/>
      <c r="H271" s="236"/>
      <c r="I271" s="236"/>
      <c r="J271" s="236"/>
      <c r="K271" s="236"/>
      <c r="L271" s="236"/>
    </row>
    <row r="272" spans="1:12" ht="15.75" collapsed="1" x14ac:dyDescent="0.25">
      <c r="A272" s="237">
        <v>522</v>
      </c>
      <c r="B272" s="239" t="s">
        <v>114</v>
      </c>
      <c r="C272" s="239" t="s">
        <v>122</v>
      </c>
      <c r="D272" s="239" t="s">
        <v>124</v>
      </c>
      <c r="E272" s="244" t="s">
        <v>206</v>
      </c>
      <c r="F272" s="236"/>
      <c r="G272" s="236"/>
      <c r="H272" s="236"/>
      <c r="I272" s="236"/>
      <c r="J272" s="236"/>
      <c r="K272" s="236"/>
      <c r="L272" s="236"/>
    </row>
    <row r="273" spans="1:12" ht="15.6" hidden="1" customHeight="1" outlineLevel="1" x14ac:dyDescent="0.25">
      <c r="A273" s="236"/>
      <c r="B273" s="239" t="s">
        <v>114</v>
      </c>
      <c r="C273" s="239" t="s">
        <v>122</v>
      </c>
      <c r="D273" s="239" t="s">
        <v>124</v>
      </c>
      <c r="E273" s="245" t="s">
        <v>88</v>
      </c>
      <c r="F273" s="246">
        <v>0.504</v>
      </c>
      <c r="G273" s="247">
        <v>0.53400000000000003</v>
      </c>
      <c r="H273" s="248">
        <v>0.56400000000000006</v>
      </c>
      <c r="I273" s="249">
        <v>0.57400000000000007</v>
      </c>
      <c r="J273" s="248">
        <v>0.58699999999999997</v>
      </c>
      <c r="K273" s="247">
        <v>0.61499999999999999</v>
      </c>
      <c r="L273" s="246">
        <v>0.64200000000000002</v>
      </c>
    </row>
    <row r="274" spans="1:12" ht="15.6" hidden="1" customHeight="1" outlineLevel="1" x14ac:dyDescent="0.25">
      <c r="A274" s="236"/>
      <c r="B274" s="239" t="s">
        <v>114</v>
      </c>
      <c r="C274" s="239" t="s">
        <v>122</v>
      </c>
      <c r="D274" s="239" t="s">
        <v>124</v>
      </c>
      <c r="E274" s="245" t="s">
        <v>89</v>
      </c>
      <c r="F274" s="249"/>
      <c r="G274" s="249"/>
      <c r="H274" s="248">
        <v>1.3000000000000001E-2</v>
      </c>
      <c r="I274" s="249">
        <v>1.6E-2</v>
      </c>
      <c r="J274" s="248">
        <v>0.02</v>
      </c>
      <c r="K274" s="247">
        <v>2.9000000000000001E-2</v>
      </c>
      <c r="L274" s="246">
        <v>0.04</v>
      </c>
    </row>
    <row r="275" spans="1:12" ht="15.6" hidden="1" customHeight="1" outlineLevel="1" x14ac:dyDescent="0.25">
      <c r="A275" s="236"/>
      <c r="B275" s="239" t="s">
        <v>114</v>
      </c>
      <c r="C275" s="239" t="s">
        <v>122</v>
      </c>
      <c r="D275" s="239" t="s">
        <v>124</v>
      </c>
      <c r="E275" s="245" t="s">
        <v>90</v>
      </c>
      <c r="F275" s="249"/>
      <c r="G275" s="249"/>
      <c r="H275" s="248">
        <v>0.08</v>
      </c>
      <c r="I275" s="249">
        <v>8.7000000000000008E-2</v>
      </c>
      <c r="J275" s="248">
        <v>9.7000000000000003E-2</v>
      </c>
      <c r="K275" s="247">
        <v>0.11700000000000001</v>
      </c>
      <c r="L275" s="246">
        <v>0.13200000000000001</v>
      </c>
    </row>
    <row r="276" spans="1:12" ht="15.6" hidden="1" customHeight="1" outlineLevel="1" x14ac:dyDescent="0.25">
      <c r="A276" s="236"/>
      <c r="B276" s="239" t="s">
        <v>114</v>
      </c>
      <c r="C276" s="239" t="s">
        <v>122</v>
      </c>
      <c r="D276" s="239" t="s">
        <v>124</v>
      </c>
      <c r="E276" s="245" t="s">
        <v>91</v>
      </c>
      <c r="F276" s="249"/>
      <c r="G276" s="249"/>
      <c r="H276" s="249"/>
      <c r="I276" s="249">
        <v>6.5000000000000002E-2</v>
      </c>
      <c r="J276" s="249"/>
      <c r="K276" s="247">
        <v>9.4E-2</v>
      </c>
      <c r="L276" s="246">
        <v>0.113</v>
      </c>
    </row>
    <row r="277" spans="1:12" ht="15.6" hidden="1" customHeight="1" outlineLevel="1" x14ac:dyDescent="0.25">
      <c r="A277" s="236"/>
      <c r="B277" s="239" t="s">
        <v>114</v>
      </c>
      <c r="C277" s="239" t="s">
        <v>122</v>
      </c>
      <c r="D277" s="239" t="s">
        <v>124</v>
      </c>
      <c r="E277" s="245" t="s">
        <v>92</v>
      </c>
      <c r="F277" s="249"/>
      <c r="G277" s="249"/>
      <c r="H277" s="249"/>
      <c r="I277" s="249">
        <v>1.7000000000000001E-2</v>
      </c>
      <c r="J277" s="249"/>
      <c r="K277" s="247">
        <v>3.6999999999999998E-2</v>
      </c>
      <c r="L277" s="246">
        <v>5.8000000000000003E-2</v>
      </c>
    </row>
    <row r="278" spans="1:12" ht="15.6" hidden="1" customHeight="1" outlineLevel="1" x14ac:dyDescent="0.25">
      <c r="A278" s="236"/>
      <c r="B278" s="239" t="s">
        <v>114</v>
      </c>
      <c r="C278" s="239" t="s">
        <v>122</v>
      </c>
      <c r="D278" s="239" t="s">
        <v>124</v>
      </c>
      <c r="E278" s="245" t="s">
        <v>93</v>
      </c>
      <c r="F278" s="249"/>
      <c r="G278" s="249"/>
      <c r="H278" s="249"/>
      <c r="I278" s="249">
        <v>5.9000000000000004E-2</v>
      </c>
      <c r="J278" s="249"/>
      <c r="K278" s="247">
        <v>9.1999999999999998E-2</v>
      </c>
      <c r="L278" s="246">
        <v>0.11</v>
      </c>
    </row>
    <row r="279" spans="1:12" ht="15.6" hidden="1" customHeight="1" outlineLevel="1" x14ac:dyDescent="0.25">
      <c r="A279" s="236"/>
      <c r="B279" s="239" t="s">
        <v>114</v>
      </c>
      <c r="C279" s="239" t="s">
        <v>122</v>
      </c>
      <c r="D279" s="239" t="s">
        <v>124</v>
      </c>
      <c r="E279" s="245" t="s">
        <v>94</v>
      </c>
      <c r="F279" s="246">
        <v>4.3999999999999997E-2</v>
      </c>
      <c r="G279" s="247">
        <v>5.1000000000000004E-2</v>
      </c>
      <c r="H279" s="248">
        <v>6.0999999999999999E-2</v>
      </c>
      <c r="I279" s="249">
        <v>6.7000000000000004E-2</v>
      </c>
      <c r="J279" s="248">
        <v>7.2000000000000008E-2</v>
      </c>
      <c r="K279" s="249"/>
      <c r="L279" s="249"/>
    </row>
    <row r="280" spans="1:12" ht="15.6" hidden="1" customHeight="1" outlineLevel="1" x14ac:dyDescent="0.25">
      <c r="A280" s="236"/>
      <c r="B280" s="239" t="s">
        <v>114</v>
      </c>
      <c r="C280" s="239" t="s">
        <v>122</v>
      </c>
      <c r="D280" s="239" t="s">
        <v>124</v>
      </c>
      <c r="E280" s="245" t="s">
        <v>95</v>
      </c>
      <c r="F280" s="249"/>
      <c r="G280" s="249"/>
      <c r="H280" s="249"/>
      <c r="I280" s="249">
        <v>1.6E-2</v>
      </c>
      <c r="J280" s="249"/>
      <c r="K280" s="247">
        <v>2.1000000000000001E-2</v>
      </c>
      <c r="L280" s="246">
        <v>2.3E-2</v>
      </c>
    </row>
    <row r="281" spans="1:12" ht="15.6" hidden="1" customHeight="1" outlineLevel="1" x14ac:dyDescent="0.25">
      <c r="A281" s="236"/>
      <c r="B281" s="239" t="s">
        <v>114</v>
      </c>
      <c r="C281" s="239" t="s">
        <v>122</v>
      </c>
      <c r="D281" s="239" t="s">
        <v>124</v>
      </c>
      <c r="E281" s="245" t="s">
        <v>33</v>
      </c>
      <c r="F281" s="249"/>
      <c r="G281" s="249"/>
      <c r="H281" s="248">
        <v>5.8000000000000003E-2</v>
      </c>
      <c r="I281" s="249">
        <v>6.3E-2</v>
      </c>
      <c r="J281" s="248">
        <v>6.8000000000000005E-2</v>
      </c>
      <c r="K281" s="247">
        <v>8.3000000000000004E-2</v>
      </c>
      <c r="L281" s="246">
        <v>0.1</v>
      </c>
    </row>
    <row r="282" spans="1:12" ht="15.6" hidden="1" customHeight="1" outlineLevel="1" x14ac:dyDescent="0.25">
      <c r="A282" s="236"/>
      <c r="B282" s="239" t="s">
        <v>114</v>
      </c>
      <c r="C282" s="239" t="s">
        <v>122</v>
      </c>
      <c r="D282" s="239" t="s">
        <v>124</v>
      </c>
      <c r="E282" s="245" t="s">
        <v>4</v>
      </c>
      <c r="F282" s="250">
        <v>14.4</v>
      </c>
      <c r="G282" s="251">
        <v>15.100000000000001</v>
      </c>
      <c r="H282" s="252">
        <v>15.9</v>
      </c>
      <c r="I282" s="253">
        <v>16.2</v>
      </c>
      <c r="J282" s="252">
        <v>16.600000000000001</v>
      </c>
      <c r="K282" s="251">
        <v>17.7</v>
      </c>
      <c r="L282" s="250">
        <v>18.5</v>
      </c>
    </row>
    <row r="283" spans="1:12" ht="15.6" hidden="1" customHeight="1" outlineLevel="1" x14ac:dyDescent="0.25">
      <c r="A283" s="236"/>
      <c r="B283" s="239" t="s">
        <v>114</v>
      </c>
      <c r="C283" s="239" t="s">
        <v>122</v>
      </c>
      <c r="D283" s="239" t="s">
        <v>124</v>
      </c>
      <c r="E283" s="245" t="s">
        <v>14</v>
      </c>
      <c r="F283" s="250">
        <v>8.5</v>
      </c>
      <c r="G283" s="251">
        <v>8.9</v>
      </c>
      <c r="H283" s="252">
        <v>9.5</v>
      </c>
      <c r="I283" s="253">
        <v>9.8000000000000007</v>
      </c>
      <c r="J283" s="252">
        <v>10.200000000000001</v>
      </c>
      <c r="K283" s="251">
        <v>10.8</v>
      </c>
      <c r="L283" s="250">
        <v>11.4</v>
      </c>
    </row>
    <row r="284" spans="1:12" ht="15.6" hidden="1" customHeight="1" outlineLevel="1" x14ac:dyDescent="0.25">
      <c r="A284" s="236"/>
      <c r="B284" s="239" t="s">
        <v>114</v>
      </c>
      <c r="C284" s="239" t="s">
        <v>122</v>
      </c>
      <c r="D284" s="239" t="s">
        <v>124</v>
      </c>
      <c r="E284" s="245" t="s">
        <v>0</v>
      </c>
      <c r="F284" s="250">
        <v>19.100000000000001</v>
      </c>
      <c r="G284" s="251">
        <v>19.600000000000001</v>
      </c>
      <c r="H284" s="252">
        <v>20.700000000000003</v>
      </c>
      <c r="I284" s="253">
        <v>21.1</v>
      </c>
      <c r="J284" s="252">
        <v>21.5</v>
      </c>
      <c r="K284" s="251">
        <v>22.5</v>
      </c>
      <c r="L284" s="250">
        <v>23.5</v>
      </c>
    </row>
    <row r="285" spans="1:12" ht="15.6" hidden="1" customHeight="1" outlineLevel="1" x14ac:dyDescent="0.25">
      <c r="A285" s="236"/>
      <c r="B285" s="236"/>
      <c r="C285" s="236"/>
      <c r="D285" s="236"/>
      <c r="E285" s="236"/>
      <c r="F285" s="236"/>
      <c r="G285" s="236"/>
      <c r="H285" s="236"/>
      <c r="I285" s="236"/>
      <c r="J285" s="236"/>
      <c r="K285" s="236"/>
      <c r="L285" s="236"/>
    </row>
    <row r="286" spans="1:12" ht="15.75" collapsed="1" x14ac:dyDescent="0.25">
      <c r="A286" s="237">
        <v>276</v>
      </c>
      <c r="B286" s="239" t="s">
        <v>114</v>
      </c>
      <c r="C286" s="239" t="s">
        <v>123</v>
      </c>
      <c r="D286" s="239" t="s">
        <v>124</v>
      </c>
      <c r="E286" s="244" t="s">
        <v>207</v>
      </c>
      <c r="F286" s="236"/>
      <c r="G286" s="236"/>
      <c r="H286" s="236"/>
      <c r="I286" s="236"/>
      <c r="J286" s="236"/>
      <c r="K286" s="236"/>
      <c r="L286" s="236"/>
    </row>
    <row r="287" spans="1:12" ht="15.6" hidden="1" customHeight="1" outlineLevel="1" x14ac:dyDescent="0.25">
      <c r="A287" s="236"/>
      <c r="B287" s="239" t="s">
        <v>114</v>
      </c>
      <c r="C287" s="239" t="s">
        <v>123</v>
      </c>
      <c r="D287" s="239" t="s">
        <v>124</v>
      </c>
      <c r="E287" s="245" t="s">
        <v>88</v>
      </c>
      <c r="F287" s="246">
        <v>0.52</v>
      </c>
      <c r="G287" s="247">
        <v>0.54200000000000004</v>
      </c>
      <c r="H287" s="248">
        <v>0.57400000000000007</v>
      </c>
      <c r="I287" s="249">
        <v>0.58499999999999996</v>
      </c>
      <c r="J287" s="248">
        <v>0.59199999999999997</v>
      </c>
      <c r="K287" s="247">
        <v>0.61299999999999999</v>
      </c>
      <c r="L287" s="246">
        <v>0.63400000000000001</v>
      </c>
    </row>
    <row r="288" spans="1:12" ht="15.6" hidden="1" customHeight="1" outlineLevel="1" x14ac:dyDescent="0.25">
      <c r="A288" s="236"/>
      <c r="B288" s="239" t="s">
        <v>114</v>
      </c>
      <c r="C288" s="239" t="s">
        <v>123</v>
      </c>
      <c r="D288" s="239" t="s">
        <v>124</v>
      </c>
      <c r="E288" s="245" t="s">
        <v>89</v>
      </c>
      <c r="F288" s="249"/>
      <c r="G288" s="249"/>
      <c r="H288" s="248">
        <v>1.0999999999999999E-2</v>
      </c>
      <c r="I288" s="249">
        <v>1.3000000000000001E-2</v>
      </c>
      <c r="J288" s="248">
        <v>1.6E-2</v>
      </c>
      <c r="K288" s="247">
        <v>2.5000000000000001E-2</v>
      </c>
      <c r="L288" s="246">
        <v>3.5000000000000003E-2</v>
      </c>
    </row>
    <row r="289" spans="1:12" ht="15.6" hidden="1" customHeight="1" outlineLevel="1" x14ac:dyDescent="0.25">
      <c r="A289" s="236"/>
      <c r="B289" s="239" t="s">
        <v>114</v>
      </c>
      <c r="C289" s="239" t="s">
        <v>123</v>
      </c>
      <c r="D289" s="239" t="s">
        <v>124</v>
      </c>
      <c r="E289" s="245" t="s">
        <v>90</v>
      </c>
      <c r="F289" s="249"/>
      <c r="G289" s="249"/>
      <c r="H289" s="248">
        <v>8.5000000000000006E-2</v>
      </c>
      <c r="I289" s="249">
        <v>9.1999999999999998E-2</v>
      </c>
      <c r="J289" s="248">
        <v>9.9000000000000005E-2</v>
      </c>
      <c r="K289" s="247">
        <v>0.114</v>
      </c>
      <c r="L289" s="246">
        <v>0.13200000000000001</v>
      </c>
    </row>
    <row r="290" spans="1:12" ht="15.6" hidden="1" customHeight="1" outlineLevel="1" x14ac:dyDescent="0.25">
      <c r="A290" s="236"/>
      <c r="B290" s="239" t="s">
        <v>114</v>
      </c>
      <c r="C290" s="239" t="s">
        <v>123</v>
      </c>
      <c r="D290" s="239" t="s">
        <v>124</v>
      </c>
      <c r="E290" s="245" t="s">
        <v>91</v>
      </c>
      <c r="F290" s="249"/>
      <c r="G290" s="249"/>
      <c r="H290" s="249"/>
      <c r="I290" s="249">
        <v>6.2E-2</v>
      </c>
      <c r="J290" s="249"/>
      <c r="K290" s="247">
        <v>8.1000000000000003E-2</v>
      </c>
      <c r="L290" s="246">
        <v>0.10300000000000001</v>
      </c>
    </row>
    <row r="291" spans="1:12" ht="15.6" hidden="1" customHeight="1" outlineLevel="1" x14ac:dyDescent="0.25">
      <c r="A291" s="236"/>
      <c r="B291" s="239" t="s">
        <v>114</v>
      </c>
      <c r="C291" s="239" t="s">
        <v>123</v>
      </c>
      <c r="D291" s="239" t="s">
        <v>124</v>
      </c>
      <c r="E291" s="245" t="s">
        <v>92</v>
      </c>
      <c r="F291" s="249"/>
      <c r="G291" s="249"/>
      <c r="H291" s="249"/>
      <c r="I291" s="249">
        <v>1.4E-2</v>
      </c>
      <c r="J291" s="249"/>
      <c r="K291" s="247">
        <v>3.1E-2</v>
      </c>
      <c r="L291" s="246">
        <v>4.9000000000000002E-2</v>
      </c>
    </row>
    <row r="292" spans="1:12" ht="15.6" hidden="1" customHeight="1" outlineLevel="1" x14ac:dyDescent="0.25">
      <c r="A292" s="236"/>
      <c r="B292" s="239" t="s">
        <v>114</v>
      </c>
      <c r="C292" s="239" t="s">
        <v>123</v>
      </c>
      <c r="D292" s="239" t="s">
        <v>124</v>
      </c>
      <c r="E292" s="245" t="s">
        <v>93</v>
      </c>
      <c r="F292" s="249"/>
      <c r="G292" s="249"/>
      <c r="H292" s="249"/>
      <c r="I292" s="249">
        <v>5.8000000000000003E-2</v>
      </c>
      <c r="J292" s="249"/>
      <c r="K292" s="247">
        <v>9.8000000000000004E-2</v>
      </c>
      <c r="L292" s="246">
        <v>0.13200000000000001</v>
      </c>
    </row>
    <row r="293" spans="1:12" ht="15.6" hidden="1" customHeight="1" outlineLevel="1" x14ac:dyDescent="0.25">
      <c r="A293" s="236"/>
      <c r="B293" s="239" t="s">
        <v>114</v>
      </c>
      <c r="C293" s="239" t="s">
        <v>123</v>
      </c>
      <c r="D293" s="239" t="s">
        <v>124</v>
      </c>
      <c r="E293" s="245" t="s">
        <v>94</v>
      </c>
      <c r="F293" s="246">
        <v>4.4999999999999998E-2</v>
      </c>
      <c r="G293" s="247">
        <v>5.2999999999999999E-2</v>
      </c>
      <c r="H293" s="248">
        <v>6.4000000000000001E-2</v>
      </c>
      <c r="I293" s="249">
        <v>7.0000000000000007E-2</v>
      </c>
      <c r="J293" s="248">
        <v>7.6999999999999999E-2</v>
      </c>
      <c r="K293" s="249"/>
      <c r="L293" s="249"/>
    </row>
    <row r="294" spans="1:12" ht="15.6" hidden="1" customHeight="1" outlineLevel="1" x14ac:dyDescent="0.25">
      <c r="A294" s="236"/>
      <c r="B294" s="239" t="s">
        <v>114</v>
      </c>
      <c r="C294" s="239" t="s">
        <v>123</v>
      </c>
      <c r="D294" s="239" t="s">
        <v>124</v>
      </c>
      <c r="E294" s="245" t="s">
        <v>95</v>
      </c>
      <c r="F294" s="249"/>
      <c r="G294" s="249"/>
      <c r="H294" s="249"/>
      <c r="I294" s="249">
        <v>1.4999999999999999E-2</v>
      </c>
      <c r="J294" s="249"/>
      <c r="K294" s="247">
        <v>1.8000000000000002E-2</v>
      </c>
      <c r="L294" s="246">
        <v>2.1000000000000001E-2</v>
      </c>
    </row>
    <row r="295" spans="1:12" ht="15.6" hidden="1" customHeight="1" outlineLevel="1" x14ac:dyDescent="0.25">
      <c r="A295" s="236"/>
      <c r="B295" s="239" t="s">
        <v>114</v>
      </c>
      <c r="C295" s="239" t="s">
        <v>123</v>
      </c>
      <c r="D295" s="239" t="s">
        <v>124</v>
      </c>
      <c r="E295" s="245" t="s">
        <v>33</v>
      </c>
      <c r="F295" s="249"/>
      <c r="G295" s="249"/>
      <c r="H295" s="248">
        <v>5.1000000000000004E-2</v>
      </c>
      <c r="I295" s="249">
        <v>5.5E-2</v>
      </c>
      <c r="J295" s="248">
        <v>5.9000000000000004E-2</v>
      </c>
      <c r="K295" s="247">
        <v>7.2000000000000008E-2</v>
      </c>
      <c r="L295" s="246">
        <v>8.5000000000000006E-2</v>
      </c>
    </row>
    <row r="296" spans="1:12" ht="15.6" hidden="1" customHeight="1" outlineLevel="1" x14ac:dyDescent="0.25">
      <c r="A296" s="236"/>
      <c r="B296" s="239" t="s">
        <v>114</v>
      </c>
      <c r="C296" s="239" t="s">
        <v>123</v>
      </c>
      <c r="D296" s="239" t="s">
        <v>124</v>
      </c>
      <c r="E296" s="245" t="s">
        <v>4</v>
      </c>
      <c r="F296" s="250">
        <v>14.5</v>
      </c>
      <c r="G296" s="251">
        <v>15.200000000000001</v>
      </c>
      <c r="H296" s="252">
        <v>16.2</v>
      </c>
      <c r="I296" s="253">
        <v>16.5</v>
      </c>
      <c r="J296" s="252">
        <v>16.900000000000002</v>
      </c>
      <c r="K296" s="251">
        <v>17.8</v>
      </c>
      <c r="L296" s="250">
        <v>18.7</v>
      </c>
    </row>
    <row r="297" spans="1:12" ht="15.6" hidden="1" customHeight="1" outlineLevel="1" x14ac:dyDescent="0.25">
      <c r="A297" s="236"/>
      <c r="B297" s="239" t="s">
        <v>114</v>
      </c>
      <c r="C297" s="239" t="s">
        <v>123</v>
      </c>
      <c r="D297" s="239" t="s">
        <v>124</v>
      </c>
      <c r="E297" s="245" t="s">
        <v>14</v>
      </c>
      <c r="F297" s="250">
        <v>8.6</v>
      </c>
      <c r="G297" s="251">
        <v>9.2000000000000011</v>
      </c>
      <c r="H297" s="252">
        <v>9.7000000000000011</v>
      </c>
      <c r="I297" s="253">
        <v>10</v>
      </c>
      <c r="J297" s="252">
        <v>10.4</v>
      </c>
      <c r="K297" s="251">
        <v>11.200000000000001</v>
      </c>
      <c r="L297" s="250">
        <v>11.700000000000001</v>
      </c>
    </row>
    <row r="298" spans="1:12" ht="15.6" hidden="1" customHeight="1" outlineLevel="1" x14ac:dyDescent="0.25">
      <c r="A298" s="236"/>
      <c r="B298" s="239" t="s">
        <v>114</v>
      </c>
      <c r="C298" s="239" t="s">
        <v>123</v>
      </c>
      <c r="D298" s="239" t="s">
        <v>124</v>
      </c>
      <c r="E298" s="245" t="s">
        <v>0</v>
      </c>
      <c r="F298" s="250">
        <v>19.400000000000002</v>
      </c>
      <c r="G298" s="251">
        <v>20.100000000000001</v>
      </c>
      <c r="H298" s="252">
        <v>20.900000000000002</v>
      </c>
      <c r="I298" s="253">
        <v>21.3</v>
      </c>
      <c r="J298" s="252">
        <v>21.6</v>
      </c>
      <c r="K298" s="251">
        <v>22.5</v>
      </c>
      <c r="L298" s="250">
        <v>23.3</v>
      </c>
    </row>
    <row r="299" spans="1:12" ht="15.6" hidden="1" customHeight="1" outlineLevel="1" x14ac:dyDescent="0.25">
      <c r="A299" s="236"/>
      <c r="B299" s="236"/>
      <c r="C299" s="236"/>
      <c r="D299" s="236"/>
      <c r="E299" s="236"/>
      <c r="F299" s="236"/>
      <c r="G299" s="236"/>
      <c r="H299" s="236"/>
      <c r="I299" s="236"/>
      <c r="J299" s="236"/>
      <c r="K299" s="236"/>
      <c r="L299" s="236"/>
    </row>
    <row r="300" spans="1:12" ht="15.75" collapsed="1" x14ac:dyDescent="0.25">
      <c r="A300" s="237">
        <v>113</v>
      </c>
      <c r="B300" s="239" t="s">
        <v>115</v>
      </c>
      <c r="C300" s="239" t="s">
        <v>121</v>
      </c>
      <c r="D300" s="239" t="s">
        <v>124</v>
      </c>
      <c r="E300" s="244" t="s">
        <v>208</v>
      </c>
      <c r="F300" s="236"/>
      <c r="G300" s="236"/>
      <c r="H300" s="236"/>
      <c r="I300" s="236"/>
      <c r="J300" s="236"/>
      <c r="K300" s="236"/>
      <c r="L300" s="236"/>
    </row>
    <row r="301" spans="1:12" ht="15.6" hidden="1" customHeight="1" outlineLevel="1" x14ac:dyDescent="0.25">
      <c r="A301" s="236"/>
      <c r="B301" s="239" t="s">
        <v>115</v>
      </c>
      <c r="C301" s="239" t="s">
        <v>121</v>
      </c>
      <c r="D301" s="239" t="s">
        <v>124</v>
      </c>
      <c r="E301" s="245" t="s">
        <v>88</v>
      </c>
      <c r="F301" s="246">
        <v>0.46100000000000002</v>
      </c>
      <c r="G301" s="247">
        <v>0.49</v>
      </c>
      <c r="H301" s="248">
        <v>0.53100000000000003</v>
      </c>
      <c r="I301" s="249">
        <v>0.54100000000000004</v>
      </c>
      <c r="J301" s="248">
        <v>0.55400000000000005</v>
      </c>
      <c r="K301" s="247">
        <v>0.58299999999999996</v>
      </c>
      <c r="L301" s="246">
        <v>0.60899999999999999</v>
      </c>
    </row>
    <row r="302" spans="1:12" ht="15.6" hidden="1" customHeight="1" outlineLevel="1" x14ac:dyDescent="0.25">
      <c r="A302" s="236"/>
      <c r="B302" s="239" t="s">
        <v>115</v>
      </c>
      <c r="C302" s="239" t="s">
        <v>121</v>
      </c>
      <c r="D302" s="239" t="s">
        <v>124</v>
      </c>
      <c r="E302" s="245" t="s">
        <v>89</v>
      </c>
      <c r="F302" s="249"/>
      <c r="G302" s="249"/>
      <c r="H302" s="248">
        <v>1.4E-2</v>
      </c>
      <c r="I302" s="249">
        <v>1.7000000000000001E-2</v>
      </c>
      <c r="J302" s="248">
        <v>0.02</v>
      </c>
      <c r="K302" s="247">
        <v>3.6999999999999998E-2</v>
      </c>
      <c r="L302" s="246">
        <v>5.3999999999999999E-2</v>
      </c>
    </row>
    <row r="303" spans="1:12" ht="15.6" hidden="1" customHeight="1" outlineLevel="1" x14ac:dyDescent="0.25">
      <c r="A303" s="236"/>
      <c r="B303" s="239" t="s">
        <v>115</v>
      </c>
      <c r="C303" s="239" t="s">
        <v>121</v>
      </c>
      <c r="D303" s="239" t="s">
        <v>124</v>
      </c>
      <c r="E303" s="245" t="s">
        <v>90</v>
      </c>
      <c r="F303" s="249"/>
      <c r="G303" s="249"/>
      <c r="H303" s="248">
        <v>9.4E-2</v>
      </c>
      <c r="I303" s="249">
        <v>0.10400000000000001</v>
      </c>
      <c r="J303" s="248">
        <v>0.111</v>
      </c>
      <c r="K303" s="247">
        <v>0.126</v>
      </c>
      <c r="L303" s="246">
        <v>0.14599999999999999</v>
      </c>
    </row>
    <row r="304" spans="1:12" ht="15.6" hidden="1" customHeight="1" outlineLevel="1" x14ac:dyDescent="0.25">
      <c r="A304" s="236"/>
      <c r="B304" s="239" t="s">
        <v>115</v>
      </c>
      <c r="C304" s="239" t="s">
        <v>121</v>
      </c>
      <c r="D304" s="239" t="s">
        <v>124</v>
      </c>
      <c r="E304" s="245" t="s">
        <v>91</v>
      </c>
      <c r="F304" s="249"/>
      <c r="G304" s="249"/>
      <c r="H304" s="249"/>
      <c r="I304" s="249">
        <v>6.5000000000000002E-2</v>
      </c>
      <c r="J304" s="249"/>
      <c r="K304" s="247">
        <v>0.09</v>
      </c>
      <c r="L304" s="246">
        <v>0.11800000000000001</v>
      </c>
    </row>
    <row r="305" spans="1:14" ht="15.6" hidden="1" customHeight="1" outlineLevel="1" x14ac:dyDescent="0.25">
      <c r="A305" s="236"/>
      <c r="B305" s="239" t="s">
        <v>115</v>
      </c>
      <c r="C305" s="239" t="s">
        <v>121</v>
      </c>
      <c r="D305" s="239" t="s">
        <v>124</v>
      </c>
      <c r="E305" s="245" t="s">
        <v>92</v>
      </c>
      <c r="F305" s="249"/>
      <c r="G305" s="249"/>
      <c r="H305" s="249"/>
      <c r="I305" s="249">
        <v>1.6E-2</v>
      </c>
      <c r="J305" s="249"/>
      <c r="K305" s="247">
        <v>3.5000000000000003E-2</v>
      </c>
      <c r="L305" s="246">
        <v>5.1000000000000004E-2</v>
      </c>
      <c r="M305" s="236"/>
      <c r="N305" s="236"/>
    </row>
    <row r="306" spans="1:14" ht="15.6" hidden="1" customHeight="1" outlineLevel="1" x14ac:dyDescent="0.25">
      <c r="A306" s="236"/>
      <c r="B306" s="239" t="s">
        <v>115</v>
      </c>
      <c r="C306" s="239" t="s">
        <v>121</v>
      </c>
      <c r="D306" s="239" t="s">
        <v>124</v>
      </c>
      <c r="E306" s="245" t="s">
        <v>93</v>
      </c>
      <c r="F306" s="249"/>
      <c r="G306" s="249"/>
      <c r="H306" s="249"/>
      <c r="I306" s="249">
        <v>6.6000000000000003E-2</v>
      </c>
      <c r="J306" s="249"/>
      <c r="K306" s="247">
        <v>0.10400000000000001</v>
      </c>
      <c r="L306" s="246">
        <v>0.125</v>
      </c>
      <c r="M306" s="236"/>
      <c r="N306" s="236"/>
    </row>
    <row r="307" spans="1:14" ht="15.6" hidden="1" customHeight="1" outlineLevel="1" x14ac:dyDescent="0.25">
      <c r="A307" s="236"/>
      <c r="B307" s="239" t="s">
        <v>115</v>
      </c>
      <c r="C307" s="239" t="s">
        <v>121</v>
      </c>
      <c r="D307" s="239" t="s">
        <v>124</v>
      </c>
      <c r="E307" s="245" t="s">
        <v>94</v>
      </c>
      <c r="F307" s="246">
        <v>3.6999999999999998E-2</v>
      </c>
      <c r="G307" s="247">
        <v>4.3999999999999997E-2</v>
      </c>
      <c r="H307" s="248">
        <v>5.5E-2</v>
      </c>
      <c r="I307" s="249">
        <v>5.9000000000000004E-2</v>
      </c>
      <c r="J307" s="248">
        <v>6.6000000000000003E-2</v>
      </c>
      <c r="K307" s="249"/>
      <c r="L307" s="249"/>
      <c r="M307" s="236"/>
      <c r="N307" s="236"/>
    </row>
    <row r="308" spans="1:14" ht="15.6" hidden="1" customHeight="1" outlineLevel="1" x14ac:dyDescent="0.25">
      <c r="A308" s="236"/>
      <c r="B308" s="239" t="s">
        <v>115</v>
      </c>
      <c r="C308" s="239" t="s">
        <v>121</v>
      </c>
      <c r="D308" s="239" t="s">
        <v>124</v>
      </c>
      <c r="E308" s="245" t="s">
        <v>95</v>
      </c>
      <c r="F308" s="249"/>
      <c r="G308" s="249"/>
      <c r="H308" s="249"/>
      <c r="I308" s="249">
        <v>1.8000000000000002E-2</v>
      </c>
      <c r="J308" s="249"/>
      <c r="K308" s="247">
        <v>2.6000000000000002E-2</v>
      </c>
      <c r="L308" s="246">
        <v>3.1E-2</v>
      </c>
      <c r="M308" s="236"/>
      <c r="N308" s="236"/>
    </row>
    <row r="309" spans="1:14" ht="15.6" hidden="1" customHeight="1" outlineLevel="1" x14ac:dyDescent="0.25">
      <c r="A309" s="236"/>
      <c r="B309" s="239" t="s">
        <v>115</v>
      </c>
      <c r="C309" s="239" t="s">
        <v>121</v>
      </c>
      <c r="D309" s="239" t="s">
        <v>124</v>
      </c>
      <c r="E309" s="245" t="s">
        <v>33</v>
      </c>
      <c r="F309" s="249"/>
      <c r="G309" s="249"/>
      <c r="H309" s="248">
        <v>7.9000000000000001E-2</v>
      </c>
      <c r="I309" s="249">
        <v>8.4000000000000005E-2</v>
      </c>
      <c r="J309" s="248">
        <v>9.2999999999999999E-2</v>
      </c>
      <c r="K309" s="247">
        <v>0.115</v>
      </c>
      <c r="L309" s="246">
        <v>0.13300000000000001</v>
      </c>
      <c r="M309" s="236"/>
      <c r="N309" s="236"/>
    </row>
    <row r="310" spans="1:14" ht="15.6" hidden="1" customHeight="1" outlineLevel="1" x14ac:dyDescent="0.25">
      <c r="A310" s="236"/>
      <c r="B310" s="239" t="s">
        <v>115</v>
      </c>
      <c r="C310" s="239" t="s">
        <v>121</v>
      </c>
      <c r="D310" s="239" t="s">
        <v>124</v>
      </c>
      <c r="E310" s="245" t="s">
        <v>4</v>
      </c>
      <c r="F310" s="250">
        <v>13.700000000000001</v>
      </c>
      <c r="G310" s="251">
        <v>14.700000000000001</v>
      </c>
      <c r="H310" s="252">
        <v>15.600000000000001</v>
      </c>
      <c r="I310" s="253">
        <v>16.3</v>
      </c>
      <c r="J310" s="252">
        <v>17</v>
      </c>
      <c r="K310" s="251">
        <v>18.8</v>
      </c>
      <c r="L310" s="250">
        <v>20.200000000000003</v>
      </c>
      <c r="M310" s="236"/>
      <c r="N310" s="236"/>
    </row>
    <row r="311" spans="1:14" ht="15.6" hidden="1" customHeight="1" outlineLevel="1" x14ac:dyDescent="0.25">
      <c r="A311" s="236"/>
      <c r="B311" s="239" t="s">
        <v>115</v>
      </c>
      <c r="C311" s="239" t="s">
        <v>121</v>
      </c>
      <c r="D311" s="239" t="s">
        <v>124</v>
      </c>
      <c r="E311" s="245" t="s">
        <v>14</v>
      </c>
      <c r="F311" s="250">
        <v>7.1000000000000005</v>
      </c>
      <c r="G311" s="251">
        <v>7.9</v>
      </c>
      <c r="H311" s="252">
        <v>8.7000000000000011</v>
      </c>
      <c r="I311" s="253">
        <v>9.1</v>
      </c>
      <c r="J311" s="252">
        <v>9.7000000000000011</v>
      </c>
      <c r="K311" s="251">
        <v>10.5</v>
      </c>
      <c r="L311" s="250">
        <v>11.4</v>
      </c>
      <c r="M311" s="236"/>
      <c r="N311" s="236"/>
    </row>
    <row r="312" spans="1:14" ht="15.6" hidden="1" customHeight="1" outlineLevel="1" x14ac:dyDescent="0.25">
      <c r="A312" s="236"/>
      <c r="B312" s="239" t="s">
        <v>115</v>
      </c>
      <c r="C312" s="239" t="s">
        <v>121</v>
      </c>
      <c r="D312" s="239" t="s">
        <v>124</v>
      </c>
      <c r="E312" s="245" t="s">
        <v>0</v>
      </c>
      <c r="F312" s="250">
        <v>19.200000000000003</v>
      </c>
      <c r="G312" s="251">
        <v>20.6</v>
      </c>
      <c r="H312" s="252">
        <v>22.200000000000003</v>
      </c>
      <c r="I312" s="253">
        <v>22.900000000000002</v>
      </c>
      <c r="J312" s="252">
        <v>23.400000000000002</v>
      </c>
      <c r="K312" s="251">
        <v>25.400000000000002</v>
      </c>
      <c r="L312" s="250">
        <v>26.5</v>
      </c>
      <c r="M312" s="236"/>
      <c r="N312" s="236"/>
    </row>
    <row r="313" spans="1:14" ht="15.6" hidden="1" customHeight="1" outlineLevel="1" x14ac:dyDescent="0.25">
      <c r="A313" s="236"/>
      <c r="B313" s="236"/>
      <c r="C313" s="236"/>
      <c r="D313" s="236"/>
      <c r="E313" s="236"/>
      <c r="F313" s="236"/>
      <c r="G313" s="236"/>
      <c r="H313" s="236"/>
      <c r="I313" s="236"/>
      <c r="J313" s="236"/>
      <c r="K313" s="236"/>
      <c r="L313" s="236"/>
      <c r="M313" s="236"/>
      <c r="N313" s="236"/>
    </row>
    <row r="314" spans="1:14" ht="15.75" collapsed="1" x14ac:dyDescent="0.25">
      <c r="A314" s="237">
        <v>180</v>
      </c>
      <c r="B314" s="239" t="s">
        <v>115</v>
      </c>
      <c r="C314" s="239" t="s">
        <v>122</v>
      </c>
      <c r="D314" s="239" t="s">
        <v>124</v>
      </c>
      <c r="E314" s="244" t="s">
        <v>209</v>
      </c>
      <c r="F314" s="236"/>
      <c r="G314" s="236"/>
      <c r="H314" s="236"/>
      <c r="I314" s="236"/>
      <c r="J314" s="236"/>
      <c r="K314" s="236"/>
      <c r="L314" s="236"/>
      <c r="M314" s="236"/>
      <c r="N314" s="236"/>
    </row>
    <row r="315" spans="1:14" ht="15.6" hidden="1" customHeight="1" outlineLevel="1" x14ac:dyDescent="0.25">
      <c r="A315" s="236"/>
      <c r="B315" s="239" t="s">
        <v>115</v>
      </c>
      <c r="C315" s="239" t="s">
        <v>122</v>
      </c>
      <c r="D315" s="239" t="s">
        <v>124</v>
      </c>
      <c r="E315" s="245" t="s">
        <v>88</v>
      </c>
      <c r="F315" s="246">
        <v>0.49399999999999999</v>
      </c>
      <c r="G315" s="247">
        <v>0.51600000000000001</v>
      </c>
      <c r="H315" s="248">
        <v>0.54100000000000004</v>
      </c>
      <c r="I315" s="249">
        <v>0.55300000000000005</v>
      </c>
      <c r="J315" s="248">
        <v>0.56200000000000006</v>
      </c>
      <c r="K315" s="247">
        <v>0.59499999999999997</v>
      </c>
      <c r="L315" s="246">
        <v>0.61199999999999999</v>
      </c>
      <c r="M315" s="236"/>
      <c r="N315" s="236"/>
    </row>
    <row r="316" spans="1:14" ht="15.6" hidden="1" customHeight="1" outlineLevel="1" x14ac:dyDescent="0.25">
      <c r="A316" s="236"/>
      <c r="B316" s="239" t="s">
        <v>115</v>
      </c>
      <c r="C316" s="239" t="s">
        <v>122</v>
      </c>
      <c r="D316" s="239" t="s">
        <v>124</v>
      </c>
      <c r="E316" s="245" t="s">
        <v>89</v>
      </c>
      <c r="F316" s="249"/>
      <c r="G316" s="249"/>
      <c r="H316" s="248">
        <v>1.4E-2</v>
      </c>
      <c r="I316" s="249">
        <v>1.8000000000000002E-2</v>
      </c>
      <c r="J316" s="248">
        <v>2.1999999999999999E-2</v>
      </c>
      <c r="K316" s="247">
        <v>3.3000000000000002E-2</v>
      </c>
      <c r="L316" s="246">
        <v>4.3999999999999997E-2</v>
      </c>
      <c r="M316" s="236"/>
      <c r="N316" s="236"/>
    </row>
    <row r="317" spans="1:14" ht="15.6" hidden="1" customHeight="1" outlineLevel="1" x14ac:dyDescent="0.25">
      <c r="A317" s="236"/>
      <c r="B317" s="239" t="s">
        <v>115</v>
      </c>
      <c r="C317" s="239" t="s">
        <v>122</v>
      </c>
      <c r="D317" s="239" t="s">
        <v>124</v>
      </c>
      <c r="E317" s="245" t="s">
        <v>90</v>
      </c>
      <c r="F317" s="249"/>
      <c r="G317" s="249"/>
      <c r="H317" s="248">
        <v>9.2999999999999999E-2</v>
      </c>
      <c r="I317" s="249">
        <v>0.1</v>
      </c>
      <c r="J317" s="248">
        <v>0.109</v>
      </c>
      <c r="K317" s="247">
        <v>0.13</v>
      </c>
      <c r="L317" s="246">
        <v>0.14499999999999999</v>
      </c>
      <c r="M317" s="236"/>
      <c r="N317" s="236"/>
    </row>
    <row r="318" spans="1:14" ht="15.6" hidden="1" customHeight="1" outlineLevel="1" x14ac:dyDescent="0.25">
      <c r="A318" s="236"/>
      <c r="B318" s="239" t="s">
        <v>115</v>
      </c>
      <c r="C318" s="239" t="s">
        <v>122</v>
      </c>
      <c r="D318" s="239" t="s">
        <v>124</v>
      </c>
      <c r="E318" s="245" t="s">
        <v>91</v>
      </c>
      <c r="F318" s="249"/>
      <c r="G318" s="249"/>
      <c r="H318" s="249"/>
      <c r="I318" s="249">
        <v>0.06</v>
      </c>
      <c r="J318" s="249"/>
      <c r="K318" s="247">
        <v>8.6000000000000007E-2</v>
      </c>
      <c r="L318" s="246">
        <v>0.109</v>
      </c>
      <c r="M318" s="236"/>
      <c r="N318" s="255"/>
    </row>
    <row r="319" spans="1:14" ht="15.6" hidden="1" customHeight="1" outlineLevel="1" x14ac:dyDescent="0.25">
      <c r="A319" s="236"/>
      <c r="B319" s="239" t="s">
        <v>115</v>
      </c>
      <c r="C319" s="239" t="s">
        <v>122</v>
      </c>
      <c r="D319" s="239" t="s">
        <v>124</v>
      </c>
      <c r="E319" s="245" t="s">
        <v>92</v>
      </c>
      <c r="F319" s="249"/>
      <c r="G319" s="249"/>
      <c r="H319" s="249"/>
      <c r="I319" s="249">
        <v>1.4999999999999999E-2</v>
      </c>
      <c r="J319" s="249"/>
      <c r="K319" s="247">
        <v>3.3000000000000002E-2</v>
      </c>
      <c r="L319" s="246">
        <v>4.4999999999999998E-2</v>
      </c>
      <c r="M319" s="236"/>
      <c r="N319" s="236"/>
    </row>
    <row r="320" spans="1:14" ht="15.6" hidden="1" customHeight="1" outlineLevel="1" x14ac:dyDescent="0.25">
      <c r="A320" s="236"/>
      <c r="B320" s="239" t="s">
        <v>115</v>
      </c>
      <c r="C320" s="239" t="s">
        <v>122</v>
      </c>
      <c r="D320" s="239" t="s">
        <v>124</v>
      </c>
      <c r="E320" s="245" t="s">
        <v>93</v>
      </c>
      <c r="F320" s="249"/>
      <c r="G320" s="249"/>
      <c r="H320" s="249"/>
      <c r="I320" s="249">
        <v>7.0000000000000007E-2</v>
      </c>
      <c r="J320" s="249"/>
      <c r="K320" s="247">
        <v>0.109</v>
      </c>
      <c r="L320" s="246">
        <v>0.14300000000000002</v>
      </c>
      <c r="M320" s="236"/>
      <c r="N320" s="236"/>
    </row>
    <row r="321" spans="1:12" ht="15.6" hidden="1" customHeight="1" outlineLevel="1" x14ac:dyDescent="0.25">
      <c r="A321" s="236"/>
      <c r="B321" s="239" t="s">
        <v>115</v>
      </c>
      <c r="C321" s="239" t="s">
        <v>122</v>
      </c>
      <c r="D321" s="239" t="s">
        <v>124</v>
      </c>
      <c r="E321" s="245" t="s">
        <v>94</v>
      </c>
      <c r="F321" s="246">
        <v>0.04</v>
      </c>
      <c r="G321" s="247">
        <v>4.4999999999999998E-2</v>
      </c>
      <c r="H321" s="248">
        <v>5.6000000000000001E-2</v>
      </c>
      <c r="I321" s="249">
        <v>6.2E-2</v>
      </c>
      <c r="J321" s="248">
        <v>6.6000000000000003E-2</v>
      </c>
      <c r="K321" s="249"/>
      <c r="L321" s="249"/>
    </row>
    <row r="322" spans="1:12" ht="15.6" hidden="1" customHeight="1" outlineLevel="1" x14ac:dyDescent="0.25">
      <c r="A322" s="236"/>
      <c r="B322" s="239" t="s">
        <v>115</v>
      </c>
      <c r="C322" s="239" t="s">
        <v>122</v>
      </c>
      <c r="D322" s="239" t="s">
        <v>124</v>
      </c>
      <c r="E322" s="245" t="s">
        <v>95</v>
      </c>
      <c r="F322" s="249"/>
      <c r="G322" s="249"/>
      <c r="H322" s="249"/>
      <c r="I322" s="249">
        <v>1.6E-2</v>
      </c>
      <c r="J322" s="249"/>
      <c r="K322" s="247">
        <v>2.1000000000000001E-2</v>
      </c>
      <c r="L322" s="246">
        <v>2.4E-2</v>
      </c>
    </row>
    <row r="323" spans="1:12" ht="15.6" hidden="1" customHeight="1" outlineLevel="1" x14ac:dyDescent="0.25">
      <c r="A323" s="236"/>
      <c r="B323" s="239" t="s">
        <v>115</v>
      </c>
      <c r="C323" s="239" t="s">
        <v>122</v>
      </c>
      <c r="D323" s="239" t="s">
        <v>124</v>
      </c>
      <c r="E323" s="245" t="s">
        <v>33</v>
      </c>
      <c r="F323" s="249"/>
      <c r="G323" s="249"/>
      <c r="H323" s="248">
        <v>6.2E-2</v>
      </c>
      <c r="I323" s="249">
        <v>6.8000000000000005E-2</v>
      </c>
      <c r="J323" s="248">
        <v>7.4999999999999997E-2</v>
      </c>
      <c r="K323" s="247">
        <v>0.09</v>
      </c>
      <c r="L323" s="246">
        <v>0.1</v>
      </c>
    </row>
    <row r="324" spans="1:12" ht="15.6" hidden="1" customHeight="1" outlineLevel="1" x14ac:dyDescent="0.25">
      <c r="A324" s="236"/>
      <c r="B324" s="239" t="s">
        <v>115</v>
      </c>
      <c r="C324" s="239" t="s">
        <v>122</v>
      </c>
      <c r="D324" s="239" t="s">
        <v>124</v>
      </c>
      <c r="E324" s="245" t="s">
        <v>4</v>
      </c>
      <c r="F324" s="250">
        <v>14.5</v>
      </c>
      <c r="G324" s="251">
        <v>15.200000000000001</v>
      </c>
      <c r="H324" s="252">
        <v>16.100000000000001</v>
      </c>
      <c r="I324" s="253">
        <v>16.600000000000001</v>
      </c>
      <c r="J324" s="252">
        <v>17.2</v>
      </c>
      <c r="K324" s="251">
        <v>18</v>
      </c>
      <c r="L324" s="250">
        <v>19.3</v>
      </c>
    </row>
    <row r="325" spans="1:12" ht="15.6" hidden="1" customHeight="1" outlineLevel="1" x14ac:dyDescent="0.25">
      <c r="A325" s="236"/>
      <c r="B325" s="239" t="s">
        <v>115</v>
      </c>
      <c r="C325" s="239" t="s">
        <v>122</v>
      </c>
      <c r="D325" s="239" t="s">
        <v>124</v>
      </c>
      <c r="E325" s="245" t="s">
        <v>14</v>
      </c>
      <c r="F325" s="250">
        <v>8.1</v>
      </c>
      <c r="G325" s="251">
        <v>8.6</v>
      </c>
      <c r="H325" s="252">
        <v>9.2000000000000011</v>
      </c>
      <c r="I325" s="253">
        <v>9.4</v>
      </c>
      <c r="J325" s="252">
        <v>9.7000000000000011</v>
      </c>
      <c r="K325" s="251">
        <v>10.5</v>
      </c>
      <c r="L325" s="250">
        <v>11.200000000000001</v>
      </c>
    </row>
    <row r="326" spans="1:12" ht="15.6" hidden="1" customHeight="1" outlineLevel="1" x14ac:dyDescent="0.25">
      <c r="A326" s="236"/>
      <c r="B326" s="239" t="s">
        <v>115</v>
      </c>
      <c r="C326" s="239" t="s">
        <v>122</v>
      </c>
      <c r="D326" s="239" t="s">
        <v>124</v>
      </c>
      <c r="E326" s="245" t="s">
        <v>0</v>
      </c>
      <c r="F326" s="250">
        <v>21</v>
      </c>
      <c r="G326" s="251">
        <v>21.8</v>
      </c>
      <c r="H326" s="252">
        <v>22.900000000000002</v>
      </c>
      <c r="I326" s="253">
        <v>23.3</v>
      </c>
      <c r="J326" s="252">
        <v>23.6</v>
      </c>
      <c r="K326" s="251">
        <v>24.400000000000002</v>
      </c>
      <c r="L326" s="250">
        <v>25.3</v>
      </c>
    </row>
    <row r="327" spans="1:12" ht="15.6" hidden="1" customHeight="1" outlineLevel="1" x14ac:dyDescent="0.25">
      <c r="A327" s="236"/>
      <c r="B327" s="236"/>
      <c r="C327" s="236"/>
      <c r="D327" s="236"/>
      <c r="E327" s="236"/>
      <c r="F327" s="236"/>
      <c r="G327" s="236"/>
      <c r="H327" s="236"/>
      <c r="I327" s="236"/>
      <c r="J327" s="236"/>
      <c r="K327" s="236"/>
      <c r="L327" s="236"/>
    </row>
    <row r="328" spans="1:12" ht="15.75" collapsed="1" x14ac:dyDescent="0.25">
      <c r="A328" s="237">
        <v>101</v>
      </c>
      <c r="B328" s="239" t="s">
        <v>115</v>
      </c>
      <c r="C328" s="239" t="s">
        <v>123</v>
      </c>
      <c r="D328" s="239" t="s">
        <v>124</v>
      </c>
      <c r="E328" s="244" t="s">
        <v>210</v>
      </c>
      <c r="F328" s="236"/>
      <c r="G328" s="236"/>
      <c r="H328" s="236"/>
      <c r="I328" s="236"/>
      <c r="J328" s="236"/>
      <c r="K328" s="236"/>
      <c r="L328" s="236"/>
    </row>
    <row r="329" spans="1:12" ht="15.6" hidden="1" customHeight="1" outlineLevel="1" x14ac:dyDescent="0.25">
      <c r="A329" s="236"/>
      <c r="B329" s="239" t="s">
        <v>115</v>
      </c>
      <c r="C329" s="239" t="s">
        <v>123</v>
      </c>
      <c r="D329" s="239" t="s">
        <v>124</v>
      </c>
      <c r="E329" s="245" t="s">
        <v>88</v>
      </c>
      <c r="F329" s="246">
        <v>0.48199999999999998</v>
      </c>
      <c r="G329" s="247">
        <v>0.502</v>
      </c>
      <c r="H329" s="248">
        <v>0.53200000000000003</v>
      </c>
      <c r="I329" s="249">
        <v>0.54400000000000004</v>
      </c>
      <c r="J329" s="248">
        <v>0.56100000000000005</v>
      </c>
      <c r="K329" s="247">
        <v>0.58899999999999997</v>
      </c>
      <c r="L329" s="246">
        <v>0.60699999999999998</v>
      </c>
    </row>
    <row r="330" spans="1:12" ht="15.6" hidden="1" customHeight="1" outlineLevel="1" x14ac:dyDescent="0.25">
      <c r="A330" s="236"/>
      <c r="B330" s="239" t="s">
        <v>115</v>
      </c>
      <c r="C330" s="239" t="s">
        <v>123</v>
      </c>
      <c r="D330" s="239" t="s">
        <v>124</v>
      </c>
      <c r="E330" s="245" t="s">
        <v>89</v>
      </c>
      <c r="F330" s="249"/>
      <c r="G330" s="249"/>
      <c r="H330" s="248">
        <v>1.6E-2</v>
      </c>
      <c r="I330" s="249">
        <v>1.9E-2</v>
      </c>
      <c r="J330" s="248">
        <v>2.1999999999999999E-2</v>
      </c>
      <c r="K330" s="247">
        <v>3.2000000000000001E-2</v>
      </c>
      <c r="L330" s="246">
        <v>4.3999999999999997E-2</v>
      </c>
    </row>
    <row r="331" spans="1:12" ht="15.6" hidden="1" customHeight="1" outlineLevel="1" x14ac:dyDescent="0.25">
      <c r="A331" s="236"/>
      <c r="B331" s="239" t="s">
        <v>115</v>
      </c>
      <c r="C331" s="239" t="s">
        <v>123</v>
      </c>
      <c r="D331" s="239" t="s">
        <v>124</v>
      </c>
      <c r="E331" s="245" t="s">
        <v>90</v>
      </c>
      <c r="F331" s="249"/>
      <c r="G331" s="249"/>
      <c r="H331" s="248">
        <v>0.108</v>
      </c>
      <c r="I331" s="249">
        <v>0.11600000000000001</v>
      </c>
      <c r="J331" s="248">
        <v>0.122</v>
      </c>
      <c r="K331" s="247">
        <v>0.13800000000000001</v>
      </c>
      <c r="L331" s="246">
        <v>0.15</v>
      </c>
    </row>
    <row r="332" spans="1:12" ht="15.6" hidden="1" customHeight="1" outlineLevel="1" x14ac:dyDescent="0.25">
      <c r="A332" s="236"/>
      <c r="B332" s="239" t="s">
        <v>115</v>
      </c>
      <c r="C332" s="239" t="s">
        <v>123</v>
      </c>
      <c r="D332" s="239" t="s">
        <v>124</v>
      </c>
      <c r="E332" s="245" t="s">
        <v>91</v>
      </c>
      <c r="F332" s="249"/>
      <c r="G332" s="249"/>
      <c r="H332" s="249"/>
      <c r="I332" s="249">
        <v>5.6000000000000001E-2</v>
      </c>
      <c r="J332" s="249"/>
      <c r="K332" s="247">
        <v>8.3000000000000004E-2</v>
      </c>
      <c r="L332" s="246">
        <v>0.1</v>
      </c>
    </row>
    <row r="333" spans="1:12" ht="15.6" hidden="1" customHeight="1" outlineLevel="1" x14ac:dyDescent="0.25">
      <c r="A333" s="236"/>
      <c r="B333" s="239" t="s">
        <v>115</v>
      </c>
      <c r="C333" s="239" t="s">
        <v>123</v>
      </c>
      <c r="D333" s="239" t="s">
        <v>124</v>
      </c>
      <c r="E333" s="245" t="s">
        <v>92</v>
      </c>
      <c r="F333" s="249"/>
      <c r="G333" s="249"/>
      <c r="H333" s="249"/>
      <c r="I333" s="249">
        <v>1.4999999999999999E-2</v>
      </c>
      <c r="J333" s="249"/>
      <c r="K333" s="247">
        <v>2.9000000000000001E-2</v>
      </c>
      <c r="L333" s="246">
        <v>4.3000000000000003E-2</v>
      </c>
    </row>
    <row r="334" spans="1:12" ht="15.6" hidden="1" customHeight="1" outlineLevel="1" x14ac:dyDescent="0.25">
      <c r="A334" s="236"/>
      <c r="B334" s="239" t="s">
        <v>115</v>
      </c>
      <c r="C334" s="239" t="s">
        <v>123</v>
      </c>
      <c r="D334" s="239" t="s">
        <v>124</v>
      </c>
      <c r="E334" s="245" t="s">
        <v>93</v>
      </c>
      <c r="F334" s="249"/>
      <c r="G334" s="249"/>
      <c r="H334" s="249"/>
      <c r="I334" s="249">
        <v>7.2999999999999995E-2</v>
      </c>
      <c r="J334" s="249"/>
      <c r="K334" s="247">
        <v>0.11</v>
      </c>
      <c r="L334" s="246">
        <v>0.151</v>
      </c>
    </row>
    <row r="335" spans="1:12" ht="15.6" hidden="1" customHeight="1" outlineLevel="1" x14ac:dyDescent="0.25">
      <c r="A335" s="236"/>
      <c r="B335" s="239" t="s">
        <v>115</v>
      </c>
      <c r="C335" s="239" t="s">
        <v>123</v>
      </c>
      <c r="D335" s="239" t="s">
        <v>124</v>
      </c>
      <c r="E335" s="245" t="s">
        <v>94</v>
      </c>
      <c r="F335" s="246">
        <v>3.9E-2</v>
      </c>
      <c r="G335" s="247">
        <v>4.8000000000000001E-2</v>
      </c>
      <c r="H335" s="248">
        <v>5.9000000000000004E-2</v>
      </c>
      <c r="I335" s="249">
        <v>6.4000000000000001E-2</v>
      </c>
      <c r="J335" s="248">
        <v>7.0000000000000007E-2</v>
      </c>
      <c r="K335" s="249"/>
      <c r="L335" s="249"/>
    </row>
    <row r="336" spans="1:12" ht="15.6" hidden="1" customHeight="1" outlineLevel="1" x14ac:dyDescent="0.25">
      <c r="A336" s="236"/>
      <c r="B336" s="239" t="s">
        <v>115</v>
      </c>
      <c r="C336" s="239" t="s">
        <v>123</v>
      </c>
      <c r="D336" s="239" t="s">
        <v>124</v>
      </c>
      <c r="E336" s="245" t="s">
        <v>95</v>
      </c>
      <c r="F336" s="249"/>
      <c r="G336" s="249"/>
      <c r="H336" s="249"/>
      <c r="I336" s="249">
        <v>1.4999999999999999E-2</v>
      </c>
      <c r="J336" s="249"/>
      <c r="K336" s="247">
        <v>1.8000000000000002E-2</v>
      </c>
      <c r="L336" s="246">
        <v>0.02</v>
      </c>
    </row>
    <row r="337" spans="1:12" ht="15.6" hidden="1" customHeight="1" outlineLevel="1" x14ac:dyDescent="0.25">
      <c r="A337" s="236"/>
      <c r="B337" s="239" t="s">
        <v>115</v>
      </c>
      <c r="C337" s="239" t="s">
        <v>123</v>
      </c>
      <c r="D337" s="239" t="s">
        <v>124</v>
      </c>
      <c r="E337" s="245" t="s">
        <v>33</v>
      </c>
      <c r="F337" s="249"/>
      <c r="G337" s="249"/>
      <c r="H337" s="248">
        <v>5.9000000000000004E-2</v>
      </c>
      <c r="I337" s="249">
        <v>6.4000000000000001E-2</v>
      </c>
      <c r="J337" s="248">
        <v>6.7000000000000004E-2</v>
      </c>
      <c r="K337" s="247">
        <v>7.8E-2</v>
      </c>
      <c r="L337" s="246">
        <v>9.5000000000000001E-2</v>
      </c>
    </row>
    <row r="338" spans="1:12" ht="15.6" hidden="1" customHeight="1" outlineLevel="1" x14ac:dyDescent="0.25">
      <c r="A338" s="236"/>
      <c r="B338" s="239" t="s">
        <v>115</v>
      </c>
      <c r="C338" s="239" t="s">
        <v>123</v>
      </c>
      <c r="D338" s="239" t="s">
        <v>124</v>
      </c>
      <c r="E338" s="245" t="s">
        <v>4</v>
      </c>
      <c r="F338" s="250">
        <v>14.600000000000001</v>
      </c>
      <c r="G338" s="251">
        <v>15.100000000000001</v>
      </c>
      <c r="H338" s="252">
        <v>16.100000000000001</v>
      </c>
      <c r="I338" s="253">
        <v>16.5</v>
      </c>
      <c r="J338" s="252">
        <v>17.2</v>
      </c>
      <c r="K338" s="251">
        <v>18</v>
      </c>
      <c r="L338" s="250">
        <v>18.400000000000002</v>
      </c>
    </row>
    <row r="339" spans="1:12" ht="15.6" hidden="1" customHeight="1" outlineLevel="1" x14ac:dyDescent="0.25">
      <c r="A339" s="236"/>
      <c r="B339" s="239" t="s">
        <v>115</v>
      </c>
      <c r="C339" s="239" t="s">
        <v>123</v>
      </c>
      <c r="D339" s="239" t="s">
        <v>124</v>
      </c>
      <c r="E339" s="245" t="s">
        <v>14</v>
      </c>
      <c r="F339" s="250">
        <v>8.3000000000000007</v>
      </c>
      <c r="G339" s="251">
        <v>8.6</v>
      </c>
      <c r="H339" s="252">
        <v>9.1</v>
      </c>
      <c r="I339" s="253">
        <v>9.3000000000000007</v>
      </c>
      <c r="J339" s="252">
        <v>9.6000000000000014</v>
      </c>
      <c r="K339" s="251">
        <v>10.700000000000001</v>
      </c>
      <c r="L339" s="250">
        <v>11.200000000000001</v>
      </c>
    </row>
    <row r="340" spans="1:12" ht="15.6" hidden="1" customHeight="1" outlineLevel="1" x14ac:dyDescent="0.25">
      <c r="A340" s="236"/>
      <c r="B340" s="239" t="s">
        <v>115</v>
      </c>
      <c r="C340" s="239" t="s">
        <v>123</v>
      </c>
      <c r="D340" s="239" t="s">
        <v>124</v>
      </c>
      <c r="E340" s="245" t="s">
        <v>0</v>
      </c>
      <c r="F340" s="250">
        <v>21.400000000000002</v>
      </c>
      <c r="G340" s="251">
        <v>22.1</v>
      </c>
      <c r="H340" s="252">
        <v>22.900000000000002</v>
      </c>
      <c r="I340" s="253">
        <v>23.1</v>
      </c>
      <c r="J340" s="252">
        <v>23.700000000000003</v>
      </c>
      <c r="K340" s="251">
        <v>24.900000000000002</v>
      </c>
      <c r="L340" s="250">
        <v>25.6</v>
      </c>
    </row>
    <row r="341" spans="1:12" ht="15.6" hidden="1" customHeight="1" outlineLevel="1" x14ac:dyDescent="0.25">
      <c r="A341" s="236"/>
      <c r="B341" s="236"/>
      <c r="C341" s="236"/>
      <c r="D341" s="236"/>
      <c r="E341" s="236"/>
      <c r="F341" s="236"/>
      <c r="G341" s="236"/>
      <c r="H341" s="236"/>
      <c r="I341" s="236"/>
      <c r="J341" s="236"/>
      <c r="K341" s="236"/>
      <c r="L341" s="236"/>
    </row>
    <row r="342" spans="1:12" ht="15.75" collapsed="1" x14ac:dyDescent="0.25">
      <c r="A342" s="237">
        <v>203</v>
      </c>
      <c r="B342" s="239" t="s">
        <v>114</v>
      </c>
      <c r="C342" s="239" t="s">
        <v>121</v>
      </c>
      <c r="D342" s="239" t="s">
        <v>125</v>
      </c>
      <c r="E342" s="244" t="s">
        <v>211</v>
      </c>
      <c r="F342" s="236"/>
      <c r="G342" s="236"/>
      <c r="H342" s="236"/>
      <c r="I342" s="236"/>
      <c r="J342" s="236"/>
      <c r="K342" s="236"/>
      <c r="L342" s="236"/>
    </row>
    <row r="343" spans="1:12" ht="15.6" hidden="1" customHeight="1" outlineLevel="1" x14ac:dyDescent="0.25">
      <c r="A343" s="236"/>
      <c r="B343" s="239" t="s">
        <v>114</v>
      </c>
      <c r="C343" s="239" t="s">
        <v>121</v>
      </c>
      <c r="D343" s="239" t="s">
        <v>125</v>
      </c>
      <c r="E343" s="245" t="s">
        <v>88</v>
      </c>
      <c r="F343" s="246">
        <v>0.437</v>
      </c>
      <c r="G343" s="247">
        <v>0.46300000000000002</v>
      </c>
      <c r="H343" s="248">
        <v>0.504</v>
      </c>
      <c r="I343" s="249">
        <v>0.52800000000000002</v>
      </c>
      <c r="J343" s="248">
        <v>0.53700000000000003</v>
      </c>
      <c r="K343" s="247">
        <v>0.56700000000000006</v>
      </c>
      <c r="L343" s="246">
        <v>0.58899999999999997</v>
      </c>
    </row>
    <row r="344" spans="1:12" ht="15.6" hidden="1" customHeight="1" outlineLevel="1" x14ac:dyDescent="0.25">
      <c r="A344" s="236"/>
      <c r="B344" s="239" t="s">
        <v>114</v>
      </c>
      <c r="C344" s="239" t="s">
        <v>121</v>
      </c>
      <c r="D344" s="239" t="s">
        <v>125</v>
      </c>
      <c r="E344" s="245" t="s">
        <v>89</v>
      </c>
      <c r="F344" s="249"/>
      <c r="G344" s="249"/>
      <c r="H344" s="248">
        <v>1.6E-2</v>
      </c>
      <c r="I344" s="249">
        <v>0.02</v>
      </c>
      <c r="J344" s="248">
        <v>2.5000000000000001E-2</v>
      </c>
      <c r="K344" s="247">
        <v>3.7999999999999999E-2</v>
      </c>
      <c r="L344" s="246">
        <v>5.1000000000000004E-2</v>
      </c>
    </row>
    <row r="345" spans="1:12" ht="15.6" hidden="1" customHeight="1" outlineLevel="1" x14ac:dyDescent="0.25">
      <c r="A345" s="236"/>
      <c r="B345" s="239" t="s">
        <v>114</v>
      </c>
      <c r="C345" s="239" t="s">
        <v>121</v>
      </c>
      <c r="D345" s="239" t="s">
        <v>125</v>
      </c>
      <c r="E345" s="245" t="s">
        <v>90</v>
      </c>
      <c r="F345" s="249"/>
      <c r="G345" s="249"/>
      <c r="H345" s="248">
        <v>0.09</v>
      </c>
      <c r="I345" s="249">
        <v>0.1</v>
      </c>
      <c r="J345" s="248">
        <v>0.112</v>
      </c>
      <c r="K345" s="247">
        <v>0.13900000000000001</v>
      </c>
      <c r="L345" s="246">
        <v>0.156</v>
      </c>
    </row>
    <row r="346" spans="1:12" ht="15.6" hidden="1" customHeight="1" outlineLevel="1" x14ac:dyDescent="0.25">
      <c r="A346" s="236"/>
      <c r="B346" s="239" t="s">
        <v>114</v>
      </c>
      <c r="C346" s="239" t="s">
        <v>121</v>
      </c>
      <c r="D346" s="239" t="s">
        <v>125</v>
      </c>
      <c r="E346" s="245" t="s">
        <v>91</v>
      </c>
      <c r="F346" s="249"/>
      <c r="G346" s="249"/>
      <c r="H346" s="249"/>
      <c r="I346" s="249">
        <v>7.0000000000000007E-2</v>
      </c>
      <c r="J346" s="249"/>
      <c r="K346" s="247">
        <v>0.108</v>
      </c>
      <c r="L346" s="246">
        <v>0.13600000000000001</v>
      </c>
    </row>
    <row r="347" spans="1:12" ht="15.6" hidden="1" customHeight="1" outlineLevel="1" x14ac:dyDescent="0.25">
      <c r="A347" s="236"/>
      <c r="B347" s="239" t="s">
        <v>114</v>
      </c>
      <c r="C347" s="239" t="s">
        <v>121</v>
      </c>
      <c r="D347" s="239" t="s">
        <v>125</v>
      </c>
      <c r="E347" s="245" t="s">
        <v>92</v>
      </c>
      <c r="F347" s="249"/>
      <c r="G347" s="249"/>
      <c r="H347" s="249"/>
      <c r="I347" s="249">
        <v>1.7000000000000001E-2</v>
      </c>
      <c r="J347" s="249"/>
      <c r="K347" s="247">
        <v>3.9E-2</v>
      </c>
      <c r="L347" s="246">
        <v>0.06</v>
      </c>
    </row>
    <row r="348" spans="1:12" ht="15.6" hidden="1" customHeight="1" outlineLevel="1" x14ac:dyDescent="0.25">
      <c r="A348" s="236"/>
      <c r="B348" s="239" t="s">
        <v>114</v>
      </c>
      <c r="C348" s="239" t="s">
        <v>121</v>
      </c>
      <c r="D348" s="239" t="s">
        <v>125</v>
      </c>
      <c r="E348" s="245" t="s">
        <v>93</v>
      </c>
      <c r="F348" s="249"/>
      <c r="G348" s="249"/>
      <c r="H348" s="249"/>
      <c r="I348" s="249">
        <v>6.5000000000000002E-2</v>
      </c>
      <c r="J348" s="249"/>
      <c r="K348" s="247">
        <v>0.109</v>
      </c>
      <c r="L348" s="246">
        <v>0.14300000000000002</v>
      </c>
    </row>
    <row r="349" spans="1:12" ht="15.6" hidden="1" customHeight="1" outlineLevel="1" x14ac:dyDescent="0.25">
      <c r="A349" s="236"/>
      <c r="B349" s="239" t="s">
        <v>114</v>
      </c>
      <c r="C349" s="239" t="s">
        <v>121</v>
      </c>
      <c r="D349" s="239" t="s">
        <v>125</v>
      </c>
      <c r="E349" s="245" t="s">
        <v>94</v>
      </c>
      <c r="F349" s="246">
        <v>3.7999999999999999E-2</v>
      </c>
      <c r="G349" s="247">
        <v>4.3999999999999997E-2</v>
      </c>
      <c r="H349" s="248">
        <v>5.2999999999999999E-2</v>
      </c>
      <c r="I349" s="249">
        <v>5.8000000000000003E-2</v>
      </c>
      <c r="J349" s="248">
        <v>6.3E-2</v>
      </c>
      <c r="K349" s="249"/>
      <c r="L349" s="249"/>
    </row>
    <row r="350" spans="1:12" ht="15.6" hidden="1" customHeight="1" outlineLevel="1" x14ac:dyDescent="0.25">
      <c r="A350" s="236"/>
      <c r="B350" s="239" t="s">
        <v>114</v>
      </c>
      <c r="C350" s="239" t="s">
        <v>121</v>
      </c>
      <c r="D350" s="239" t="s">
        <v>125</v>
      </c>
      <c r="E350" s="245" t="s">
        <v>95</v>
      </c>
      <c r="F350" s="249"/>
      <c r="G350" s="249"/>
      <c r="H350" s="249"/>
      <c r="I350" s="249">
        <v>0.02</v>
      </c>
      <c r="J350" s="249"/>
      <c r="K350" s="247">
        <v>2.7E-2</v>
      </c>
      <c r="L350" s="246">
        <v>3.4000000000000002E-2</v>
      </c>
    </row>
    <row r="351" spans="1:12" ht="15.6" hidden="1" customHeight="1" outlineLevel="1" x14ac:dyDescent="0.25">
      <c r="A351" s="236"/>
      <c r="B351" s="239" t="s">
        <v>114</v>
      </c>
      <c r="C351" s="239" t="s">
        <v>121</v>
      </c>
      <c r="D351" s="239" t="s">
        <v>125</v>
      </c>
      <c r="E351" s="245" t="s">
        <v>33</v>
      </c>
      <c r="F351" s="249"/>
      <c r="G351" s="249"/>
      <c r="H351" s="248">
        <v>7.0000000000000007E-2</v>
      </c>
      <c r="I351" s="249">
        <v>7.2999999999999995E-2</v>
      </c>
      <c r="J351" s="248">
        <v>8.3000000000000004E-2</v>
      </c>
      <c r="K351" s="247">
        <v>0.105</v>
      </c>
      <c r="L351" s="246">
        <v>0.13100000000000001</v>
      </c>
    </row>
    <row r="352" spans="1:12" ht="15.6" hidden="1" customHeight="1" outlineLevel="1" x14ac:dyDescent="0.25">
      <c r="A352" s="236"/>
      <c r="B352" s="239" t="s">
        <v>114</v>
      </c>
      <c r="C352" s="239" t="s">
        <v>121</v>
      </c>
      <c r="D352" s="239" t="s">
        <v>125</v>
      </c>
      <c r="E352" s="245" t="s">
        <v>4</v>
      </c>
      <c r="F352" s="250">
        <v>12.100000000000001</v>
      </c>
      <c r="G352" s="251">
        <v>13.3</v>
      </c>
      <c r="H352" s="252">
        <v>14.700000000000001</v>
      </c>
      <c r="I352" s="253">
        <v>15.3</v>
      </c>
      <c r="J352" s="252">
        <v>15.8</v>
      </c>
      <c r="K352" s="251">
        <v>17</v>
      </c>
      <c r="L352" s="250">
        <v>18.3</v>
      </c>
    </row>
    <row r="353" spans="1:12" ht="15.6" hidden="1" customHeight="1" outlineLevel="1" x14ac:dyDescent="0.25">
      <c r="A353" s="236"/>
      <c r="B353" s="239" t="s">
        <v>114</v>
      </c>
      <c r="C353" s="239" t="s">
        <v>121</v>
      </c>
      <c r="D353" s="239" t="s">
        <v>125</v>
      </c>
      <c r="E353" s="245" t="s">
        <v>14</v>
      </c>
      <c r="F353" s="250">
        <v>7</v>
      </c>
      <c r="G353" s="251">
        <v>7.4</v>
      </c>
      <c r="H353" s="252">
        <v>8.3000000000000007</v>
      </c>
      <c r="I353" s="253">
        <v>8.7000000000000011</v>
      </c>
      <c r="J353" s="252">
        <v>9</v>
      </c>
      <c r="K353" s="251">
        <v>9.9</v>
      </c>
      <c r="L353" s="250">
        <v>10.9</v>
      </c>
    </row>
    <row r="354" spans="1:12" ht="15.6" hidden="1" customHeight="1" outlineLevel="1" x14ac:dyDescent="0.25">
      <c r="A354" s="236"/>
      <c r="B354" s="239" t="s">
        <v>114</v>
      </c>
      <c r="C354" s="239" t="s">
        <v>121</v>
      </c>
      <c r="D354" s="239" t="s">
        <v>125</v>
      </c>
      <c r="E354" s="245" t="s">
        <v>0</v>
      </c>
      <c r="F354" s="250">
        <v>16.5</v>
      </c>
      <c r="G354" s="251">
        <v>18.2</v>
      </c>
      <c r="H354" s="252">
        <v>19.900000000000002</v>
      </c>
      <c r="I354" s="253">
        <v>20.6</v>
      </c>
      <c r="J354" s="252">
        <v>21.400000000000002</v>
      </c>
      <c r="K354" s="251">
        <v>22.700000000000003</v>
      </c>
      <c r="L354" s="250">
        <v>24.5</v>
      </c>
    </row>
    <row r="355" spans="1:12" ht="15.6" hidden="1" customHeight="1" outlineLevel="1" x14ac:dyDescent="0.25">
      <c r="A355" s="236"/>
      <c r="B355" s="236"/>
      <c r="C355" s="236"/>
      <c r="D355" s="236"/>
      <c r="E355" s="236"/>
      <c r="F355" s="236"/>
      <c r="G355" s="236"/>
      <c r="H355" s="236"/>
      <c r="I355" s="236"/>
      <c r="J355" s="236"/>
      <c r="K355" s="236"/>
      <c r="L355" s="236"/>
    </row>
    <row r="356" spans="1:12" ht="15.75" collapsed="1" x14ac:dyDescent="0.25">
      <c r="A356" s="237">
        <v>269</v>
      </c>
      <c r="B356" s="239" t="s">
        <v>114</v>
      </c>
      <c r="C356" s="239" t="s">
        <v>122</v>
      </c>
      <c r="D356" s="239" t="s">
        <v>125</v>
      </c>
      <c r="E356" s="244" t="s">
        <v>212</v>
      </c>
      <c r="F356" s="236"/>
      <c r="G356" s="236"/>
      <c r="H356" s="236"/>
      <c r="I356" s="236"/>
      <c r="J356" s="236"/>
      <c r="K356" s="236"/>
      <c r="L356" s="236"/>
    </row>
    <row r="357" spans="1:12" ht="15.6" hidden="1" customHeight="1" outlineLevel="1" x14ac:dyDescent="0.25">
      <c r="A357" s="236"/>
      <c r="B357" s="239" t="s">
        <v>114</v>
      </c>
      <c r="C357" s="239" t="s">
        <v>122</v>
      </c>
      <c r="D357" s="239" t="s">
        <v>125</v>
      </c>
      <c r="E357" s="245" t="s">
        <v>88</v>
      </c>
      <c r="F357" s="246">
        <v>0.46600000000000003</v>
      </c>
      <c r="G357" s="247">
        <v>0.501</v>
      </c>
      <c r="H357" s="248">
        <v>0.52800000000000002</v>
      </c>
      <c r="I357" s="249">
        <v>0.54200000000000004</v>
      </c>
      <c r="J357" s="248">
        <v>0.55600000000000005</v>
      </c>
      <c r="K357" s="247">
        <v>0.59</v>
      </c>
      <c r="L357" s="246">
        <v>0.628</v>
      </c>
    </row>
    <row r="358" spans="1:12" ht="15.6" hidden="1" customHeight="1" outlineLevel="1" x14ac:dyDescent="0.25">
      <c r="A358" s="236"/>
      <c r="B358" s="239" t="s">
        <v>114</v>
      </c>
      <c r="C358" s="239" t="s">
        <v>122</v>
      </c>
      <c r="D358" s="239" t="s">
        <v>125</v>
      </c>
      <c r="E358" s="245" t="s">
        <v>89</v>
      </c>
      <c r="F358" s="249"/>
      <c r="G358" s="249"/>
      <c r="H358" s="248">
        <v>1.4999999999999999E-2</v>
      </c>
      <c r="I358" s="249">
        <v>1.8000000000000002E-2</v>
      </c>
      <c r="J358" s="248">
        <v>2.3E-2</v>
      </c>
      <c r="K358" s="247">
        <v>3.6000000000000004E-2</v>
      </c>
      <c r="L358" s="246">
        <v>4.5999999999999999E-2</v>
      </c>
    </row>
    <row r="359" spans="1:12" ht="15.6" hidden="1" customHeight="1" outlineLevel="1" x14ac:dyDescent="0.25">
      <c r="A359" s="236"/>
      <c r="B359" s="239" t="s">
        <v>114</v>
      </c>
      <c r="C359" s="239" t="s">
        <v>122</v>
      </c>
      <c r="D359" s="239" t="s">
        <v>125</v>
      </c>
      <c r="E359" s="245" t="s">
        <v>90</v>
      </c>
      <c r="F359" s="249"/>
      <c r="G359" s="249"/>
      <c r="H359" s="248">
        <v>9.4E-2</v>
      </c>
      <c r="I359" s="249">
        <v>0.10200000000000001</v>
      </c>
      <c r="J359" s="248">
        <v>0.112</v>
      </c>
      <c r="K359" s="247">
        <v>0.13200000000000001</v>
      </c>
      <c r="L359" s="246">
        <v>0.15</v>
      </c>
    </row>
    <row r="360" spans="1:12" ht="15.6" hidden="1" customHeight="1" outlineLevel="1" x14ac:dyDescent="0.25">
      <c r="A360" s="236"/>
      <c r="B360" s="239" t="s">
        <v>114</v>
      </c>
      <c r="C360" s="239" t="s">
        <v>122</v>
      </c>
      <c r="D360" s="239" t="s">
        <v>125</v>
      </c>
      <c r="E360" s="245" t="s">
        <v>91</v>
      </c>
      <c r="F360" s="249"/>
      <c r="G360" s="249"/>
      <c r="H360" s="249"/>
      <c r="I360" s="249">
        <v>6.5000000000000002E-2</v>
      </c>
      <c r="J360" s="249"/>
      <c r="K360" s="247">
        <v>0.10200000000000001</v>
      </c>
      <c r="L360" s="246">
        <v>0.123</v>
      </c>
    </row>
    <row r="361" spans="1:12" ht="15.6" hidden="1" customHeight="1" outlineLevel="1" x14ac:dyDescent="0.25">
      <c r="A361" s="236"/>
      <c r="B361" s="239" t="s">
        <v>114</v>
      </c>
      <c r="C361" s="239" t="s">
        <v>122</v>
      </c>
      <c r="D361" s="239" t="s">
        <v>125</v>
      </c>
      <c r="E361" s="245" t="s">
        <v>92</v>
      </c>
      <c r="F361" s="249"/>
      <c r="G361" s="249"/>
      <c r="H361" s="249"/>
      <c r="I361" s="249">
        <v>1.9E-2</v>
      </c>
      <c r="J361" s="249"/>
      <c r="K361" s="247">
        <v>0.03</v>
      </c>
      <c r="L361" s="246">
        <v>5.1000000000000004E-2</v>
      </c>
    </row>
    <row r="362" spans="1:12" ht="15.6" hidden="1" customHeight="1" outlineLevel="1" x14ac:dyDescent="0.25">
      <c r="A362" s="236"/>
      <c r="B362" s="239" t="s">
        <v>114</v>
      </c>
      <c r="C362" s="239" t="s">
        <v>122</v>
      </c>
      <c r="D362" s="239" t="s">
        <v>125</v>
      </c>
      <c r="E362" s="245" t="s">
        <v>93</v>
      </c>
      <c r="F362" s="249"/>
      <c r="G362" s="249"/>
      <c r="H362" s="249"/>
      <c r="I362" s="249">
        <v>6.2E-2</v>
      </c>
      <c r="J362" s="249"/>
      <c r="K362" s="247">
        <v>0.11</v>
      </c>
      <c r="L362" s="246">
        <v>0.157</v>
      </c>
    </row>
    <row r="363" spans="1:12" ht="15.6" hidden="1" customHeight="1" outlineLevel="1" x14ac:dyDescent="0.25">
      <c r="A363" s="236"/>
      <c r="B363" s="239" t="s">
        <v>114</v>
      </c>
      <c r="C363" s="239" t="s">
        <v>122</v>
      </c>
      <c r="D363" s="239" t="s">
        <v>125</v>
      </c>
      <c r="E363" s="245" t="s">
        <v>94</v>
      </c>
      <c r="F363" s="246">
        <v>3.7999999999999999E-2</v>
      </c>
      <c r="G363" s="247">
        <v>4.3999999999999997E-2</v>
      </c>
      <c r="H363" s="248">
        <v>5.2999999999999999E-2</v>
      </c>
      <c r="I363" s="249">
        <v>5.9000000000000004E-2</v>
      </c>
      <c r="J363" s="248">
        <v>6.5000000000000002E-2</v>
      </c>
      <c r="K363" s="249"/>
      <c r="L363" s="249"/>
    </row>
    <row r="364" spans="1:12" ht="15.6" hidden="1" customHeight="1" outlineLevel="1" x14ac:dyDescent="0.25">
      <c r="A364" s="236"/>
      <c r="B364" s="239" t="s">
        <v>114</v>
      </c>
      <c r="C364" s="239" t="s">
        <v>122</v>
      </c>
      <c r="D364" s="239" t="s">
        <v>125</v>
      </c>
      <c r="E364" s="245" t="s">
        <v>95</v>
      </c>
      <c r="F364" s="249"/>
      <c r="G364" s="249"/>
      <c r="H364" s="249"/>
      <c r="I364" s="249">
        <v>1.6E-2</v>
      </c>
      <c r="J364" s="249"/>
      <c r="K364" s="247">
        <v>2.1999999999999999E-2</v>
      </c>
      <c r="L364" s="246">
        <v>2.5000000000000001E-2</v>
      </c>
    </row>
    <row r="365" spans="1:12" ht="15.6" hidden="1" customHeight="1" outlineLevel="1" x14ac:dyDescent="0.25">
      <c r="A365" s="236"/>
      <c r="B365" s="239" t="s">
        <v>114</v>
      </c>
      <c r="C365" s="239" t="s">
        <v>122</v>
      </c>
      <c r="D365" s="239" t="s">
        <v>125</v>
      </c>
      <c r="E365" s="245" t="s">
        <v>33</v>
      </c>
      <c r="F365" s="249"/>
      <c r="G365" s="249"/>
      <c r="H365" s="248">
        <v>6.3E-2</v>
      </c>
      <c r="I365" s="249">
        <v>6.9000000000000006E-2</v>
      </c>
      <c r="J365" s="248">
        <v>7.5999999999999998E-2</v>
      </c>
      <c r="K365" s="247">
        <v>8.8999999999999996E-2</v>
      </c>
      <c r="L365" s="246">
        <v>0.10400000000000001</v>
      </c>
    </row>
    <row r="366" spans="1:12" ht="15.6" hidden="1" customHeight="1" outlineLevel="1" x14ac:dyDescent="0.25">
      <c r="A366" s="236"/>
      <c r="B366" s="239" t="s">
        <v>114</v>
      </c>
      <c r="C366" s="239" t="s">
        <v>122</v>
      </c>
      <c r="D366" s="239" t="s">
        <v>125</v>
      </c>
      <c r="E366" s="245" t="s">
        <v>4</v>
      </c>
      <c r="F366" s="250">
        <v>13.200000000000001</v>
      </c>
      <c r="G366" s="251">
        <v>13.600000000000001</v>
      </c>
      <c r="H366" s="252">
        <v>14.700000000000001</v>
      </c>
      <c r="I366" s="253">
        <v>15.200000000000001</v>
      </c>
      <c r="J366" s="252">
        <v>15.600000000000001</v>
      </c>
      <c r="K366" s="251">
        <v>16.8</v>
      </c>
      <c r="L366" s="250">
        <v>17.7</v>
      </c>
    </row>
    <row r="367" spans="1:12" ht="15.6" hidden="1" customHeight="1" outlineLevel="1" x14ac:dyDescent="0.25">
      <c r="A367" s="236"/>
      <c r="B367" s="239" t="s">
        <v>114</v>
      </c>
      <c r="C367" s="239" t="s">
        <v>122</v>
      </c>
      <c r="D367" s="239" t="s">
        <v>125</v>
      </c>
      <c r="E367" s="245" t="s">
        <v>14</v>
      </c>
      <c r="F367" s="250">
        <v>7.5</v>
      </c>
      <c r="G367" s="251">
        <v>8</v>
      </c>
      <c r="H367" s="252">
        <v>8.7000000000000011</v>
      </c>
      <c r="I367" s="253">
        <v>9</v>
      </c>
      <c r="J367" s="252">
        <v>9.3000000000000007</v>
      </c>
      <c r="K367" s="251">
        <v>10.100000000000001</v>
      </c>
      <c r="L367" s="250">
        <v>10.700000000000001</v>
      </c>
    </row>
    <row r="368" spans="1:12" ht="15.6" hidden="1" customHeight="1" outlineLevel="1" x14ac:dyDescent="0.25">
      <c r="A368" s="236"/>
      <c r="B368" s="239" t="s">
        <v>114</v>
      </c>
      <c r="C368" s="239" t="s">
        <v>122</v>
      </c>
      <c r="D368" s="239" t="s">
        <v>125</v>
      </c>
      <c r="E368" s="245" t="s">
        <v>0</v>
      </c>
      <c r="F368" s="250">
        <v>18.3</v>
      </c>
      <c r="G368" s="251">
        <v>19.200000000000003</v>
      </c>
      <c r="H368" s="252">
        <v>20.3</v>
      </c>
      <c r="I368" s="253">
        <v>20.8</v>
      </c>
      <c r="J368" s="252">
        <v>21.200000000000003</v>
      </c>
      <c r="K368" s="251">
        <v>22.400000000000002</v>
      </c>
      <c r="L368" s="250">
        <v>23.1</v>
      </c>
    </row>
    <row r="369" spans="1:12" ht="15.6" hidden="1" customHeight="1" outlineLevel="1" x14ac:dyDescent="0.25">
      <c r="A369" s="236"/>
      <c r="B369" s="236"/>
      <c r="C369" s="236"/>
      <c r="D369" s="236"/>
      <c r="E369" s="236"/>
      <c r="F369" s="236"/>
      <c r="G369" s="236"/>
      <c r="H369" s="236"/>
      <c r="I369" s="236"/>
      <c r="J369" s="236"/>
      <c r="K369" s="236"/>
      <c r="L369" s="236"/>
    </row>
    <row r="370" spans="1:12" ht="15.75" collapsed="1" x14ac:dyDescent="0.25">
      <c r="A370" s="237">
        <v>64</v>
      </c>
      <c r="B370" s="239" t="s">
        <v>114</v>
      </c>
      <c r="C370" s="239" t="s">
        <v>123</v>
      </c>
      <c r="D370" s="239" t="s">
        <v>125</v>
      </c>
      <c r="E370" s="244" t="s">
        <v>213</v>
      </c>
      <c r="F370" s="236"/>
      <c r="G370" s="236"/>
      <c r="H370" s="236"/>
      <c r="I370" s="236"/>
      <c r="J370" s="236"/>
      <c r="K370" s="236"/>
      <c r="L370" s="236"/>
    </row>
    <row r="371" spans="1:12" ht="15.6" hidden="1" customHeight="1" outlineLevel="1" x14ac:dyDescent="0.25">
      <c r="A371" s="236"/>
      <c r="B371" s="239" t="s">
        <v>114</v>
      </c>
      <c r="C371" s="239" t="s">
        <v>123</v>
      </c>
      <c r="D371" s="239" t="s">
        <v>125</v>
      </c>
      <c r="E371" s="245" t="s">
        <v>88</v>
      </c>
      <c r="F371" s="246">
        <v>0.47500000000000003</v>
      </c>
      <c r="G371" s="247">
        <v>0.48799999999999999</v>
      </c>
      <c r="H371" s="248">
        <v>0.53100000000000003</v>
      </c>
      <c r="I371" s="249">
        <v>0.55300000000000005</v>
      </c>
      <c r="J371" s="248">
        <v>0.56300000000000006</v>
      </c>
      <c r="K371" s="247">
        <v>0.59299999999999997</v>
      </c>
      <c r="L371" s="246">
        <v>0.61699999999999999</v>
      </c>
    </row>
    <row r="372" spans="1:12" ht="15.6" hidden="1" customHeight="1" outlineLevel="1" x14ac:dyDescent="0.25">
      <c r="A372" s="236"/>
      <c r="B372" s="239" t="s">
        <v>114</v>
      </c>
      <c r="C372" s="239" t="s">
        <v>123</v>
      </c>
      <c r="D372" s="239" t="s">
        <v>125</v>
      </c>
      <c r="E372" s="245" t="s">
        <v>89</v>
      </c>
      <c r="F372" s="249"/>
      <c r="G372" s="249"/>
      <c r="H372" s="248">
        <v>1.4999999999999999E-2</v>
      </c>
      <c r="I372" s="249">
        <v>1.8000000000000002E-2</v>
      </c>
      <c r="J372" s="248">
        <v>2.3E-2</v>
      </c>
      <c r="K372" s="247">
        <v>3.5000000000000003E-2</v>
      </c>
      <c r="L372" s="246">
        <v>4.1000000000000002E-2</v>
      </c>
    </row>
    <row r="373" spans="1:12" ht="15.6" hidden="1" customHeight="1" outlineLevel="1" x14ac:dyDescent="0.25">
      <c r="A373" s="236"/>
      <c r="B373" s="239" t="s">
        <v>114</v>
      </c>
      <c r="C373" s="239" t="s">
        <v>123</v>
      </c>
      <c r="D373" s="239" t="s">
        <v>125</v>
      </c>
      <c r="E373" s="245" t="s">
        <v>90</v>
      </c>
      <c r="F373" s="249"/>
      <c r="G373" s="249"/>
      <c r="H373" s="248">
        <v>0.10300000000000001</v>
      </c>
      <c r="I373" s="249">
        <v>0.109</v>
      </c>
      <c r="J373" s="248">
        <v>0.115</v>
      </c>
      <c r="K373" s="247">
        <v>0.14100000000000001</v>
      </c>
      <c r="L373" s="246">
        <v>0.16</v>
      </c>
    </row>
    <row r="374" spans="1:12" ht="15.6" hidden="1" customHeight="1" outlineLevel="1" x14ac:dyDescent="0.25">
      <c r="A374" s="236"/>
      <c r="B374" s="239" t="s">
        <v>114</v>
      </c>
      <c r="C374" s="239" t="s">
        <v>123</v>
      </c>
      <c r="D374" s="239" t="s">
        <v>125</v>
      </c>
      <c r="E374" s="245" t="s">
        <v>91</v>
      </c>
      <c r="F374" s="249"/>
      <c r="G374" s="249"/>
      <c r="H374" s="249"/>
      <c r="I374" s="249">
        <v>4.5999999999999999E-2</v>
      </c>
      <c r="J374" s="249"/>
      <c r="K374" s="247">
        <v>9.2999999999999999E-2</v>
      </c>
      <c r="L374" s="246">
        <v>0.107</v>
      </c>
    </row>
    <row r="375" spans="1:12" ht="15.6" hidden="1" customHeight="1" outlineLevel="1" x14ac:dyDescent="0.25">
      <c r="A375" s="236"/>
      <c r="B375" s="239" t="s">
        <v>114</v>
      </c>
      <c r="C375" s="239" t="s">
        <v>123</v>
      </c>
      <c r="D375" s="239" t="s">
        <v>125</v>
      </c>
      <c r="E375" s="245" t="s">
        <v>92</v>
      </c>
      <c r="F375" s="249"/>
      <c r="G375" s="249"/>
      <c r="H375" s="249"/>
      <c r="I375" s="249">
        <v>1.7000000000000001E-2</v>
      </c>
      <c r="J375" s="249"/>
      <c r="K375" s="247">
        <v>0.03</v>
      </c>
      <c r="L375" s="246">
        <v>4.7E-2</v>
      </c>
    </row>
    <row r="376" spans="1:12" ht="15.6" hidden="1" customHeight="1" outlineLevel="1" x14ac:dyDescent="0.25">
      <c r="A376" s="236"/>
      <c r="B376" s="239" t="s">
        <v>114</v>
      </c>
      <c r="C376" s="239" t="s">
        <v>123</v>
      </c>
      <c r="D376" s="239" t="s">
        <v>125</v>
      </c>
      <c r="E376" s="245" t="s">
        <v>93</v>
      </c>
      <c r="F376" s="249"/>
      <c r="G376" s="249"/>
      <c r="H376" s="249"/>
      <c r="I376" s="249">
        <v>0.08</v>
      </c>
      <c r="J376" s="249"/>
      <c r="K376" s="247">
        <v>0.14100000000000001</v>
      </c>
      <c r="L376" s="246">
        <v>0.17899999999999999</v>
      </c>
    </row>
    <row r="377" spans="1:12" ht="15.6" hidden="1" customHeight="1" outlineLevel="1" x14ac:dyDescent="0.25">
      <c r="A377" s="236"/>
      <c r="B377" s="239" t="s">
        <v>114</v>
      </c>
      <c r="C377" s="239" t="s">
        <v>123</v>
      </c>
      <c r="D377" s="239" t="s">
        <v>125</v>
      </c>
      <c r="E377" s="245" t="s">
        <v>94</v>
      </c>
      <c r="F377" s="246">
        <v>4.1000000000000002E-2</v>
      </c>
      <c r="G377" s="247">
        <v>4.7E-2</v>
      </c>
      <c r="H377" s="248">
        <v>5.5E-2</v>
      </c>
      <c r="I377" s="249">
        <v>6.2E-2</v>
      </c>
      <c r="J377" s="248">
        <v>6.9000000000000006E-2</v>
      </c>
      <c r="K377" s="249"/>
      <c r="L377" s="249"/>
    </row>
    <row r="378" spans="1:12" ht="15.6" hidden="1" customHeight="1" outlineLevel="1" x14ac:dyDescent="0.25">
      <c r="A378" s="236"/>
      <c r="B378" s="239" t="s">
        <v>114</v>
      </c>
      <c r="C378" s="239" t="s">
        <v>123</v>
      </c>
      <c r="D378" s="239" t="s">
        <v>125</v>
      </c>
      <c r="E378" s="245" t="s">
        <v>95</v>
      </c>
      <c r="F378" s="249"/>
      <c r="G378" s="249"/>
      <c r="H378" s="249"/>
      <c r="I378" s="249">
        <v>1.4999999999999999E-2</v>
      </c>
      <c r="J378" s="249"/>
      <c r="K378" s="247">
        <v>1.9E-2</v>
      </c>
      <c r="L378" s="246">
        <v>2.1999999999999999E-2</v>
      </c>
    </row>
    <row r="379" spans="1:12" ht="15.6" hidden="1" customHeight="1" outlineLevel="1" x14ac:dyDescent="0.25">
      <c r="A379" s="236"/>
      <c r="B379" s="239" t="s">
        <v>114</v>
      </c>
      <c r="C379" s="239" t="s">
        <v>123</v>
      </c>
      <c r="D379" s="239" t="s">
        <v>125</v>
      </c>
      <c r="E379" s="245" t="s">
        <v>33</v>
      </c>
      <c r="F379" s="249"/>
      <c r="G379" s="249"/>
      <c r="H379" s="248">
        <v>0.05</v>
      </c>
      <c r="I379" s="249">
        <v>5.6000000000000001E-2</v>
      </c>
      <c r="J379" s="248">
        <v>6.2E-2</v>
      </c>
      <c r="K379" s="247">
        <v>7.6999999999999999E-2</v>
      </c>
      <c r="L379" s="246">
        <v>8.8999999999999996E-2</v>
      </c>
    </row>
    <row r="380" spans="1:12" ht="15.6" hidden="1" customHeight="1" outlineLevel="1" x14ac:dyDescent="0.25">
      <c r="A380" s="236"/>
      <c r="B380" s="239" t="s">
        <v>114</v>
      </c>
      <c r="C380" s="239" t="s">
        <v>123</v>
      </c>
      <c r="D380" s="239" t="s">
        <v>125</v>
      </c>
      <c r="E380" s="245" t="s">
        <v>4</v>
      </c>
      <c r="F380" s="250">
        <v>13.600000000000001</v>
      </c>
      <c r="G380" s="251">
        <v>14.200000000000001</v>
      </c>
      <c r="H380" s="252">
        <v>14.9</v>
      </c>
      <c r="I380" s="253">
        <v>15.4</v>
      </c>
      <c r="J380" s="252">
        <v>15.600000000000001</v>
      </c>
      <c r="K380" s="251">
        <v>16.5</v>
      </c>
      <c r="L380" s="250">
        <v>17.8</v>
      </c>
    </row>
    <row r="381" spans="1:12" ht="15.6" hidden="1" customHeight="1" outlineLevel="1" x14ac:dyDescent="0.25">
      <c r="A381" s="236"/>
      <c r="B381" s="239" t="s">
        <v>114</v>
      </c>
      <c r="C381" s="239" t="s">
        <v>123</v>
      </c>
      <c r="D381" s="239" t="s">
        <v>125</v>
      </c>
      <c r="E381" s="245" t="s">
        <v>14</v>
      </c>
      <c r="F381" s="250">
        <v>7.6000000000000005</v>
      </c>
      <c r="G381" s="251">
        <v>8.1</v>
      </c>
      <c r="H381" s="252">
        <v>9</v>
      </c>
      <c r="I381" s="253">
        <v>9.3000000000000007</v>
      </c>
      <c r="J381" s="252">
        <v>9.6000000000000014</v>
      </c>
      <c r="K381" s="251">
        <v>10.3</v>
      </c>
      <c r="L381" s="250">
        <v>10.700000000000001</v>
      </c>
    </row>
    <row r="382" spans="1:12" ht="15.6" hidden="1" customHeight="1" outlineLevel="1" x14ac:dyDescent="0.25">
      <c r="A382" s="236"/>
      <c r="B382" s="239" t="s">
        <v>114</v>
      </c>
      <c r="C382" s="239" t="s">
        <v>123</v>
      </c>
      <c r="D382" s="239" t="s">
        <v>125</v>
      </c>
      <c r="E382" s="245" t="s">
        <v>0</v>
      </c>
      <c r="F382" s="250">
        <v>18.400000000000002</v>
      </c>
      <c r="G382" s="251">
        <v>19.200000000000003</v>
      </c>
      <c r="H382" s="252">
        <v>20.5</v>
      </c>
      <c r="I382" s="253">
        <v>20.900000000000002</v>
      </c>
      <c r="J382" s="252">
        <v>21.200000000000003</v>
      </c>
      <c r="K382" s="251">
        <v>22.200000000000003</v>
      </c>
      <c r="L382" s="250">
        <v>23.6</v>
      </c>
    </row>
    <row r="383" spans="1:12" ht="15.6" hidden="1" customHeight="1" outlineLevel="1" x14ac:dyDescent="0.25">
      <c r="A383" s="236"/>
      <c r="B383" s="236"/>
      <c r="C383" s="236"/>
      <c r="D383" s="236"/>
      <c r="E383" s="236"/>
      <c r="F383" s="236"/>
      <c r="G383" s="236"/>
      <c r="H383" s="236"/>
      <c r="I383" s="236"/>
      <c r="J383" s="236"/>
      <c r="K383" s="236"/>
      <c r="L383" s="236"/>
    </row>
    <row r="384" spans="1:12" ht="15.75" collapsed="1" x14ac:dyDescent="0.25">
      <c r="A384" s="237">
        <v>51</v>
      </c>
      <c r="B384" s="239" t="s">
        <v>115</v>
      </c>
      <c r="C384" s="239" t="s">
        <v>121</v>
      </c>
      <c r="D384" s="239" t="s">
        <v>125</v>
      </c>
      <c r="E384" s="244" t="s">
        <v>214</v>
      </c>
      <c r="F384" s="236"/>
      <c r="G384" s="236"/>
      <c r="H384" s="236"/>
      <c r="I384" s="236"/>
      <c r="J384" s="236"/>
      <c r="K384" s="236"/>
      <c r="L384" s="236"/>
    </row>
    <row r="385" spans="1:12" ht="15.6" hidden="1" customHeight="1" outlineLevel="1" x14ac:dyDescent="0.25">
      <c r="A385" s="236"/>
      <c r="B385" s="239" t="s">
        <v>115</v>
      </c>
      <c r="C385" s="239" t="s">
        <v>121</v>
      </c>
      <c r="D385" s="239" t="s">
        <v>125</v>
      </c>
      <c r="E385" s="245" t="s">
        <v>88</v>
      </c>
      <c r="F385" s="246">
        <v>0.43099999999999999</v>
      </c>
      <c r="G385" s="247">
        <v>0.46200000000000002</v>
      </c>
      <c r="H385" s="248">
        <v>0.49099999999999999</v>
      </c>
      <c r="I385" s="249">
        <v>0.50800000000000001</v>
      </c>
      <c r="J385" s="248">
        <v>0.52400000000000002</v>
      </c>
      <c r="K385" s="247">
        <v>0.55500000000000005</v>
      </c>
      <c r="L385" s="246">
        <v>0.57899999999999996</v>
      </c>
    </row>
    <row r="386" spans="1:12" ht="15.6" hidden="1" customHeight="1" outlineLevel="1" x14ac:dyDescent="0.25">
      <c r="A386" s="236"/>
      <c r="B386" s="239" t="s">
        <v>115</v>
      </c>
      <c r="C386" s="239" t="s">
        <v>121</v>
      </c>
      <c r="D386" s="239" t="s">
        <v>125</v>
      </c>
      <c r="E386" s="245" t="s">
        <v>89</v>
      </c>
      <c r="F386" s="249"/>
      <c r="G386" s="249"/>
      <c r="H386" s="248">
        <v>1.6E-2</v>
      </c>
      <c r="I386" s="249">
        <v>0.02</v>
      </c>
      <c r="J386" s="248">
        <v>2.9000000000000001E-2</v>
      </c>
      <c r="K386" s="247">
        <v>4.1000000000000002E-2</v>
      </c>
      <c r="L386" s="246">
        <v>5.6000000000000001E-2</v>
      </c>
    </row>
    <row r="387" spans="1:12" ht="15.6" hidden="1" customHeight="1" outlineLevel="1" x14ac:dyDescent="0.25">
      <c r="A387" s="236"/>
      <c r="B387" s="239" t="s">
        <v>115</v>
      </c>
      <c r="C387" s="239" t="s">
        <v>121</v>
      </c>
      <c r="D387" s="239" t="s">
        <v>125</v>
      </c>
      <c r="E387" s="245" t="s">
        <v>90</v>
      </c>
      <c r="F387" s="249"/>
      <c r="G387" s="249"/>
      <c r="H387" s="248">
        <v>0.09</v>
      </c>
      <c r="I387" s="249">
        <v>9.7000000000000003E-2</v>
      </c>
      <c r="J387" s="248">
        <v>0.107</v>
      </c>
      <c r="K387" s="247">
        <v>0.13500000000000001</v>
      </c>
      <c r="L387" s="246">
        <v>0.16</v>
      </c>
    </row>
    <row r="388" spans="1:12" ht="15.6" hidden="1" customHeight="1" outlineLevel="1" x14ac:dyDescent="0.25">
      <c r="A388" s="236"/>
      <c r="B388" s="239" t="s">
        <v>115</v>
      </c>
      <c r="C388" s="239" t="s">
        <v>121</v>
      </c>
      <c r="D388" s="239" t="s">
        <v>125</v>
      </c>
      <c r="E388" s="245" t="s">
        <v>91</v>
      </c>
      <c r="F388" s="249"/>
      <c r="G388" s="249"/>
      <c r="H388" s="249"/>
      <c r="I388" s="249">
        <v>6.3E-2</v>
      </c>
      <c r="J388" s="249"/>
      <c r="K388" s="247">
        <v>0.10400000000000001</v>
      </c>
      <c r="L388" s="246">
        <v>0.11700000000000001</v>
      </c>
    </row>
    <row r="389" spans="1:12" ht="15.6" hidden="1" customHeight="1" outlineLevel="1" x14ac:dyDescent="0.25">
      <c r="A389" s="236"/>
      <c r="B389" s="239" t="s">
        <v>115</v>
      </c>
      <c r="C389" s="239" t="s">
        <v>121</v>
      </c>
      <c r="D389" s="239" t="s">
        <v>125</v>
      </c>
      <c r="E389" s="245" t="s">
        <v>92</v>
      </c>
      <c r="F389" s="249"/>
      <c r="G389" s="249"/>
      <c r="H389" s="249"/>
      <c r="I389" s="249">
        <v>1.8000000000000002E-2</v>
      </c>
      <c r="J389" s="249"/>
      <c r="K389" s="247">
        <v>3.9E-2</v>
      </c>
      <c r="L389" s="246">
        <v>4.9000000000000002E-2</v>
      </c>
    </row>
    <row r="390" spans="1:12" ht="15.6" hidden="1" customHeight="1" outlineLevel="1" x14ac:dyDescent="0.25">
      <c r="A390" s="236"/>
      <c r="B390" s="239" t="s">
        <v>115</v>
      </c>
      <c r="C390" s="239" t="s">
        <v>121</v>
      </c>
      <c r="D390" s="239" t="s">
        <v>125</v>
      </c>
      <c r="E390" s="245" t="s">
        <v>93</v>
      </c>
      <c r="F390" s="249"/>
      <c r="G390" s="249"/>
      <c r="H390" s="249"/>
      <c r="I390" s="249">
        <v>7.2000000000000008E-2</v>
      </c>
      <c r="J390" s="249"/>
      <c r="K390" s="247">
        <v>0.12</v>
      </c>
      <c r="L390" s="246">
        <v>0.13500000000000001</v>
      </c>
    </row>
    <row r="391" spans="1:12" ht="15.6" hidden="1" customHeight="1" outlineLevel="1" x14ac:dyDescent="0.25">
      <c r="A391" s="236"/>
      <c r="B391" s="239" t="s">
        <v>115</v>
      </c>
      <c r="C391" s="239" t="s">
        <v>121</v>
      </c>
      <c r="D391" s="239" t="s">
        <v>125</v>
      </c>
      <c r="E391" s="245" t="s">
        <v>94</v>
      </c>
      <c r="F391" s="246">
        <v>3.2000000000000001E-2</v>
      </c>
      <c r="G391" s="247">
        <v>3.6999999999999998E-2</v>
      </c>
      <c r="H391" s="248">
        <v>0.05</v>
      </c>
      <c r="I391" s="249">
        <v>5.7000000000000002E-2</v>
      </c>
      <c r="J391" s="248">
        <v>6.0999999999999999E-2</v>
      </c>
      <c r="K391" s="249"/>
      <c r="L391" s="249"/>
    </row>
    <row r="392" spans="1:12" ht="15.6" hidden="1" customHeight="1" outlineLevel="1" x14ac:dyDescent="0.25">
      <c r="A392" s="236"/>
      <c r="B392" s="239" t="s">
        <v>115</v>
      </c>
      <c r="C392" s="239" t="s">
        <v>121</v>
      </c>
      <c r="D392" s="239" t="s">
        <v>125</v>
      </c>
      <c r="E392" s="245" t="s">
        <v>95</v>
      </c>
      <c r="F392" s="249"/>
      <c r="G392" s="249"/>
      <c r="H392" s="249"/>
      <c r="I392" s="249">
        <v>0.02</v>
      </c>
      <c r="J392" s="249"/>
      <c r="K392" s="247">
        <v>2.7E-2</v>
      </c>
      <c r="L392" s="246">
        <v>3.2000000000000001E-2</v>
      </c>
    </row>
    <row r="393" spans="1:12" ht="15.6" hidden="1" customHeight="1" outlineLevel="1" x14ac:dyDescent="0.25">
      <c r="A393" s="236"/>
      <c r="B393" s="239" t="s">
        <v>115</v>
      </c>
      <c r="C393" s="239" t="s">
        <v>121</v>
      </c>
      <c r="D393" s="239" t="s">
        <v>125</v>
      </c>
      <c r="E393" s="245" t="s">
        <v>33</v>
      </c>
      <c r="F393" s="249"/>
      <c r="G393" s="249"/>
      <c r="H393" s="248">
        <v>7.6999999999999999E-2</v>
      </c>
      <c r="I393" s="249">
        <v>8.7999999999999995E-2</v>
      </c>
      <c r="J393" s="248">
        <v>9.6000000000000002E-2</v>
      </c>
      <c r="K393" s="247">
        <v>0.13200000000000001</v>
      </c>
      <c r="L393" s="246">
        <v>0.16200000000000001</v>
      </c>
    </row>
    <row r="394" spans="1:12" ht="15.6" hidden="1" customHeight="1" outlineLevel="1" x14ac:dyDescent="0.25">
      <c r="A394" s="236"/>
      <c r="B394" s="239" t="s">
        <v>115</v>
      </c>
      <c r="C394" s="239" t="s">
        <v>121</v>
      </c>
      <c r="D394" s="239" t="s">
        <v>125</v>
      </c>
      <c r="E394" s="245" t="s">
        <v>4</v>
      </c>
      <c r="F394" s="250">
        <v>10.4</v>
      </c>
      <c r="G394" s="251">
        <v>11.5</v>
      </c>
      <c r="H394" s="252">
        <v>13.100000000000001</v>
      </c>
      <c r="I394" s="253">
        <v>13.8</v>
      </c>
      <c r="J394" s="252">
        <v>14.4</v>
      </c>
      <c r="K394" s="251">
        <v>15.700000000000001</v>
      </c>
      <c r="L394" s="250">
        <v>18</v>
      </c>
    </row>
    <row r="395" spans="1:12" ht="15.6" hidden="1" customHeight="1" outlineLevel="1" x14ac:dyDescent="0.25">
      <c r="A395" s="236"/>
      <c r="B395" s="239" t="s">
        <v>115</v>
      </c>
      <c r="C395" s="239" t="s">
        <v>121</v>
      </c>
      <c r="D395" s="239" t="s">
        <v>125</v>
      </c>
      <c r="E395" s="245" t="s">
        <v>14</v>
      </c>
      <c r="F395" s="250">
        <v>5.8000000000000007</v>
      </c>
      <c r="G395" s="251">
        <v>6.4</v>
      </c>
      <c r="H395" s="252">
        <v>7.3000000000000007</v>
      </c>
      <c r="I395" s="253">
        <v>7.7</v>
      </c>
      <c r="J395" s="252">
        <v>8</v>
      </c>
      <c r="K395" s="251">
        <v>9</v>
      </c>
      <c r="L395" s="250">
        <v>9.8000000000000007</v>
      </c>
    </row>
    <row r="396" spans="1:12" ht="15.6" hidden="1" customHeight="1" outlineLevel="1" x14ac:dyDescent="0.25">
      <c r="A396" s="236"/>
      <c r="B396" s="239" t="s">
        <v>115</v>
      </c>
      <c r="C396" s="239" t="s">
        <v>121</v>
      </c>
      <c r="D396" s="239" t="s">
        <v>125</v>
      </c>
      <c r="E396" s="245" t="s">
        <v>0</v>
      </c>
      <c r="F396" s="250">
        <v>17.400000000000002</v>
      </c>
      <c r="G396" s="251">
        <v>18.7</v>
      </c>
      <c r="H396" s="252">
        <v>20.8</v>
      </c>
      <c r="I396" s="253">
        <v>21.700000000000003</v>
      </c>
      <c r="J396" s="252">
        <v>22.1</v>
      </c>
      <c r="K396" s="251">
        <v>23.6</v>
      </c>
      <c r="L396" s="250">
        <v>24.6</v>
      </c>
    </row>
    <row r="397" spans="1:12" ht="15.6" hidden="1" customHeight="1" outlineLevel="1" x14ac:dyDescent="0.25">
      <c r="A397" s="236"/>
      <c r="B397" s="236"/>
      <c r="C397" s="236"/>
      <c r="D397" s="236"/>
      <c r="E397" s="236"/>
      <c r="F397" s="236"/>
      <c r="G397" s="236"/>
      <c r="H397" s="236"/>
      <c r="I397" s="236"/>
      <c r="J397" s="236"/>
      <c r="K397" s="236"/>
      <c r="L397" s="236"/>
    </row>
    <row r="398" spans="1:12" ht="15.75" collapsed="1" x14ac:dyDescent="0.25">
      <c r="A398" s="237">
        <v>114</v>
      </c>
      <c r="B398" s="239" t="s">
        <v>115</v>
      </c>
      <c r="C398" s="239" t="s">
        <v>122</v>
      </c>
      <c r="D398" s="239" t="s">
        <v>125</v>
      </c>
      <c r="E398" s="244" t="s">
        <v>215</v>
      </c>
      <c r="F398" s="236"/>
      <c r="G398" s="236"/>
      <c r="H398" s="236"/>
      <c r="I398" s="236"/>
      <c r="J398" s="236"/>
      <c r="K398" s="236"/>
      <c r="L398" s="236"/>
    </row>
    <row r="399" spans="1:12" ht="15.6" hidden="1" customHeight="1" outlineLevel="1" x14ac:dyDescent="0.25">
      <c r="A399" s="236"/>
      <c r="B399" s="239" t="s">
        <v>115</v>
      </c>
      <c r="C399" s="239" t="s">
        <v>122</v>
      </c>
      <c r="D399" s="239" t="s">
        <v>125</v>
      </c>
      <c r="E399" s="245" t="s">
        <v>88</v>
      </c>
      <c r="F399" s="246">
        <v>0.44400000000000001</v>
      </c>
      <c r="G399" s="247">
        <v>0.46900000000000003</v>
      </c>
      <c r="H399" s="248">
        <v>0.50700000000000001</v>
      </c>
      <c r="I399" s="249">
        <v>0.51900000000000002</v>
      </c>
      <c r="J399" s="248">
        <v>0.53100000000000003</v>
      </c>
      <c r="K399" s="247">
        <v>0.55500000000000005</v>
      </c>
      <c r="L399" s="246">
        <v>0.58799999999999997</v>
      </c>
    </row>
    <row r="400" spans="1:12" ht="15.6" hidden="1" customHeight="1" outlineLevel="1" x14ac:dyDescent="0.25">
      <c r="A400" s="236"/>
      <c r="B400" s="239" t="s">
        <v>115</v>
      </c>
      <c r="C400" s="239" t="s">
        <v>122</v>
      </c>
      <c r="D400" s="239" t="s">
        <v>125</v>
      </c>
      <c r="E400" s="245" t="s">
        <v>89</v>
      </c>
      <c r="F400" s="249"/>
      <c r="G400" s="249"/>
      <c r="H400" s="248">
        <v>1.4999999999999999E-2</v>
      </c>
      <c r="I400" s="249">
        <v>1.9E-2</v>
      </c>
      <c r="J400" s="248">
        <v>2.1999999999999999E-2</v>
      </c>
      <c r="K400" s="247">
        <v>3.4000000000000002E-2</v>
      </c>
      <c r="L400" s="246">
        <v>4.1000000000000002E-2</v>
      </c>
    </row>
    <row r="401" spans="1:12" ht="15.6" hidden="1" customHeight="1" outlineLevel="1" x14ac:dyDescent="0.25">
      <c r="A401" s="236"/>
      <c r="B401" s="239" t="s">
        <v>115</v>
      </c>
      <c r="C401" s="239" t="s">
        <v>122</v>
      </c>
      <c r="D401" s="239" t="s">
        <v>125</v>
      </c>
      <c r="E401" s="245" t="s">
        <v>90</v>
      </c>
      <c r="F401" s="249"/>
      <c r="G401" s="249"/>
      <c r="H401" s="248">
        <v>0.10400000000000001</v>
      </c>
      <c r="I401" s="249">
        <v>0.11</v>
      </c>
      <c r="J401" s="248">
        <v>0.12</v>
      </c>
      <c r="K401" s="247">
        <v>0.14000000000000001</v>
      </c>
      <c r="L401" s="246">
        <v>0.157</v>
      </c>
    </row>
    <row r="402" spans="1:12" ht="15.6" hidden="1" customHeight="1" outlineLevel="1" x14ac:dyDescent="0.25">
      <c r="A402" s="236"/>
      <c r="B402" s="239" t="s">
        <v>115</v>
      </c>
      <c r="C402" s="239" t="s">
        <v>122</v>
      </c>
      <c r="D402" s="239" t="s">
        <v>125</v>
      </c>
      <c r="E402" s="245" t="s">
        <v>91</v>
      </c>
      <c r="F402" s="249"/>
      <c r="G402" s="249"/>
      <c r="H402" s="249"/>
      <c r="I402" s="249">
        <v>6.8000000000000005E-2</v>
      </c>
      <c r="J402" s="249"/>
      <c r="K402" s="247">
        <v>9.4E-2</v>
      </c>
      <c r="L402" s="246">
        <v>0.115</v>
      </c>
    </row>
    <row r="403" spans="1:12" ht="15.6" hidden="1" customHeight="1" outlineLevel="1" x14ac:dyDescent="0.25">
      <c r="A403" s="236"/>
      <c r="B403" s="239" t="s">
        <v>115</v>
      </c>
      <c r="C403" s="239" t="s">
        <v>122</v>
      </c>
      <c r="D403" s="239" t="s">
        <v>125</v>
      </c>
      <c r="E403" s="245" t="s">
        <v>92</v>
      </c>
      <c r="F403" s="249"/>
      <c r="G403" s="249"/>
      <c r="H403" s="249"/>
      <c r="I403" s="249">
        <v>1.8000000000000002E-2</v>
      </c>
      <c r="J403" s="249"/>
      <c r="K403" s="247">
        <v>3.6000000000000004E-2</v>
      </c>
      <c r="L403" s="246">
        <v>5.8000000000000003E-2</v>
      </c>
    </row>
    <row r="404" spans="1:12" ht="15.6" hidden="1" customHeight="1" outlineLevel="1" x14ac:dyDescent="0.25">
      <c r="A404" s="236"/>
      <c r="B404" s="239" t="s">
        <v>115</v>
      </c>
      <c r="C404" s="239" t="s">
        <v>122</v>
      </c>
      <c r="D404" s="239" t="s">
        <v>125</v>
      </c>
      <c r="E404" s="245" t="s">
        <v>93</v>
      </c>
      <c r="F404" s="249"/>
      <c r="G404" s="249"/>
      <c r="H404" s="249"/>
      <c r="I404" s="249">
        <v>7.2999999999999995E-2</v>
      </c>
      <c r="J404" s="249"/>
      <c r="K404" s="247">
        <v>0.123</v>
      </c>
      <c r="L404" s="246">
        <v>0.185</v>
      </c>
    </row>
    <row r="405" spans="1:12" ht="15.6" hidden="1" customHeight="1" outlineLevel="1" x14ac:dyDescent="0.25">
      <c r="A405" s="236"/>
      <c r="B405" s="239" t="s">
        <v>115</v>
      </c>
      <c r="C405" s="239" t="s">
        <v>122</v>
      </c>
      <c r="D405" s="239" t="s">
        <v>125</v>
      </c>
      <c r="E405" s="245" t="s">
        <v>94</v>
      </c>
      <c r="F405" s="246">
        <v>3.9E-2</v>
      </c>
      <c r="G405" s="247">
        <v>4.4999999999999998E-2</v>
      </c>
      <c r="H405" s="248">
        <v>5.9000000000000004E-2</v>
      </c>
      <c r="I405" s="249">
        <v>6.2E-2</v>
      </c>
      <c r="J405" s="248">
        <v>6.8000000000000005E-2</v>
      </c>
      <c r="K405" s="249"/>
      <c r="L405" s="249"/>
    </row>
    <row r="406" spans="1:12" ht="15.6" hidden="1" customHeight="1" outlineLevel="1" x14ac:dyDescent="0.25">
      <c r="A406" s="236"/>
      <c r="B406" s="239" t="s">
        <v>115</v>
      </c>
      <c r="C406" s="239" t="s">
        <v>122</v>
      </c>
      <c r="D406" s="239" t="s">
        <v>125</v>
      </c>
      <c r="E406" s="245" t="s">
        <v>95</v>
      </c>
      <c r="F406" s="249"/>
      <c r="G406" s="249"/>
      <c r="H406" s="249"/>
      <c r="I406" s="249">
        <v>1.7000000000000001E-2</v>
      </c>
      <c r="J406" s="249"/>
      <c r="K406" s="247">
        <v>2.3E-2</v>
      </c>
      <c r="L406" s="246">
        <v>2.6000000000000002E-2</v>
      </c>
    </row>
    <row r="407" spans="1:12" ht="15.6" hidden="1" customHeight="1" outlineLevel="1" x14ac:dyDescent="0.25">
      <c r="A407" s="236"/>
      <c r="B407" s="239" t="s">
        <v>115</v>
      </c>
      <c r="C407" s="239" t="s">
        <v>122</v>
      </c>
      <c r="D407" s="239" t="s">
        <v>125</v>
      </c>
      <c r="E407" s="245" t="s">
        <v>33</v>
      </c>
      <c r="F407" s="249"/>
      <c r="G407" s="249"/>
      <c r="H407" s="248">
        <v>6.3E-2</v>
      </c>
      <c r="I407" s="249">
        <v>6.8000000000000005E-2</v>
      </c>
      <c r="J407" s="248">
        <v>7.3999999999999996E-2</v>
      </c>
      <c r="K407" s="247">
        <v>9.0999999999999998E-2</v>
      </c>
      <c r="L407" s="246">
        <v>0.106</v>
      </c>
    </row>
    <row r="408" spans="1:12" ht="15.6" hidden="1" customHeight="1" outlineLevel="1" x14ac:dyDescent="0.25">
      <c r="A408" s="236"/>
      <c r="B408" s="239" t="s">
        <v>115</v>
      </c>
      <c r="C408" s="239" t="s">
        <v>122</v>
      </c>
      <c r="D408" s="239" t="s">
        <v>125</v>
      </c>
      <c r="E408" s="245" t="s">
        <v>4</v>
      </c>
      <c r="F408" s="250">
        <v>13.4</v>
      </c>
      <c r="G408" s="251">
        <v>14.3</v>
      </c>
      <c r="H408" s="252">
        <v>15.200000000000001</v>
      </c>
      <c r="I408" s="253">
        <v>15.8</v>
      </c>
      <c r="J408" s="252">
        <v>16.3</v>
      </c>
      <c r="K408" s="251">
        <v>17.600000000000001</v>
      </c>
      <c r="L408" s="250">
        <v>18.600000000000001</v>
      </c>
    </row>
    <row r="409" spans="1:12" ht="15.6" hidden="1" customHeight="1" outlineLevel="1" x14ac:dyDescent="0.25">
      <c r="A409" s="236"/>
      <c r="B409" s="239" t="s">
        <v>115</v>
      </c>
      <c r="C409" s="239" t="s">
        <v>122</v>
      </c>
      <c r="D409" s="239" t="s">
        <v>125</v>
      </c>
      <c r="E409" s="245" t="s">
        <v>14</v>
      </c>
      <c r="F409" s="250">
        <v>7</v>
      </c>
      <c r="G409" s="251">
        <v>7.6000000000000005</v>
      </c>
      <c r="H409" s="252">
        <v>8.5</v>
      </c>
      <c r="I409" s="253">
        <v>8.8000000000000007</v>
      </c>
      <c r="J409" s="252">
        <v>9.1</v>
      </c>
      <c r="K409" s="251">
        <v>9.8000000000000007</v>
      </c>
      <c r="L409" s="250">
        <v>10.4</v>
      </c>
    </row>
    <row r="410" spans="1:12" ht="15.6" hidden="1" customHeight="1" outlineLevel="1" x14ac:dyDescent="0.25">
      <c r="A410" s="236"/>
      <c r="B410" s="239" t="s">
        <v>115</v>
      </c>
      <c r="C410" s="239" t="s">
        <v>122</v>
      </c>
      <c r="D410" s="239" t="s">
        <v>125</v>
      </c>
      <c r="E410" s="245" t="s">
        <v>0</v>
      </c>
      <c r="F410" s="250">
        <v>19.100000000000001</v>
      </c>
      <c r="G410" s="251">
        <v>20.100000000000001</v>
      </c>
      <c r="H410" s="252">
        <v>21.700000000000003</v>
      </c>
      <c r="I410" s="253">
        <v>22.1</v>
      </c>
      <c r="J410" s="252">
        <v>22.900000000000002</v>
      </c>
      <c r="K410" s="251">
        <v>24.200000000000003</v>
      </c>
      <c r="L410" s="250">
        <v>25</v>
      </c>
    </row>
    <row r="411" spans="1:12" ht="15.6" hidden="1" customHeight="1" outlineLevel="1" x14ac:dyDescent="0.25">
      <c r="A411" s="236"/>
      <c r="B411" s="236"/>
      <c r="C411" s="236"/>
      <c r="D411" s="236"/>
      <c r="E411" s="236"/>
      <c r="F411" s="236"/>
      <c r="G411" s="236"/>
      <c r="H411" s="236"/>
      <c r="I411" s="236"/>
      <c r="J411" s="236"/>
      <c r="K411" s="236"/>
      <c r="L411" s="236"/>
    </row>
    <row r="412" spans="1:12" ht="15.75" collapsed="1" x14ac:dyDescent="0.25">
      <c r="A412" s="237">
        <v>31</v>
      </c>
      <c r="B412" s="239" t="s">
        <v>115</v>
      </c>
      <c r="C412" s="239" t="s">
        <v>123</v>
      </c>
      <c r="D412" s="239" t="s">
        <v>125</v>
      </c>
      <c r="E412" s="244" t="s">
        <v>216</v>
      </c>
      <c r="F412" s="236"/>
      <c r="G412" s="236"/>
      <c r="H412" s="236"/>
      <c r="I412" s="236"/>
      <c r="J412" s="236"/>
      <c r="K412" s="236"/>
      <c r="L412" s="236"/>
    </row>
    <row r="413" spans="1:12" ht="15.6" hidden="1" customHeight="1" outlineLevel="1" x14ac:dyDescent="0.25">
      <c r="A413" s="236"/>
      <c r="B413" s="239" t="s">
        <v>115</v>
      </c>
      <c r="C413" s="239" t="s">
        <v>123</v>
      </c>
      <c r="D413" s="239" t="s">
        <v>125</v>
      </c>
      <c r="E413" s="245" t="s">
        <v>88</v>
      </c>
      <c r="F413" s="246">
        <v>0.44500000000000001</v>
      </c>
      <c r="G413" s="247">
        <v>0.47800000000000004</v>
      </c>
      <c r="H413" s="248">
        <v>0.50600000000000001</v>
      </c>
      <c r="I413" s="249">
        <v>0.51</v>
      </c>
      <c r="J413" s="248">
        <v>0.51600000000000001</v>
      </c>
      <c r="K413" s="247">
        <v>0.54900000000000004</v>
      </c>
      <c r="L413" s="246">
        <v>0.60399999999999998</v>
      </c>
    </row>
    <row r="414" spans="1:12" ht="15.6" hidden="1" customHeight="1" outlineLevel="1" x14ac:dyDescent="0.25">
      <c r="A414" s="236"/>
      <c r="B414" s="239" t="s">
        <v>115</v>
      </c>
      <c r="C414" s="239" t="s">
        <v>123</v>
      </c>
      <c r="D414" s="239" t="s">
        <v>125</v>
      </c>
      <c r="E414" s="245" t="s">
        <v>89</v>
      </c>
      <c r="F414" s="249"/>
      <c r="G414" s="249"/>
      <c r="H414" s="248">
        <v>1.6E-2</v>
      </c>
      <c r="I414" s="249">
        <v>2.1000000000000001E-2</v>
      </c>
      <c r="J414" s="248">
        <v>2.8000000000000001E-2</v>
      </c>
      <c r="K414" s="247">
        <v>4.2000000000000003E-2</v>
      </c>
      <c r="L414" s="246">
        <v>4.8000000000000001E-2</v>
      </c>
    </row>
    <row r="415" spans="1:12" ht="15.6" hidden="1" customHeight="1" outlineLevel="1" x14ac:dyDescent="0.25">
      <c r="A415" s="236"/>
      <c r="B415" s="239" t="s">
        <v>115</v>
      </c>
      <c r="C415" s="239" t="s">
        <v>123</v>
      </c>
      <c r="D415" s="239" t="s">
        <v>125</v>
      </c>
      <c r="E415" s="245" t="s">
        <v>90</v>
      </c>
      <c r="F415" s="249"/>
      <c r="G415" s="249"/>
      <c r="H415" s="248">
        <v>0.09</v>
      </c>
      <c r="I415" s="249">
        <v>9.9000000000000005E-2</v>
      </c>
      <c r="J415" s="248">
        <v>0.107</v>
      </c>
      <c r="K415" s="247">
        <v>0.13100000000000001</v>
      </c>
      <c r="L415" s="246">
        <v>0.14899999999999999</v>
      </c>
    </row>
    <row r="416" spans="1:12" ht="15.6" hidden="1" customHeight="1" outlineLevel="1" x14ac:dyDescent="0.25">
      <c r="A416" s="236"/>
      <c r="B416" s="239" t="s">
        <v>115</v>
      </c>
      <c r="C416" s="239" t="s">
        <v>123</v>
      </c>
      <c r="D416" s="239" t="s">
        <v>125</v>
      </c>
      <c r="E416" s="245" t="s">
        <v>91</v>
      </c>
      <c r="F416" s="249"/>
      <c r="G416" s="249"/>
      <c r="H416" s="249"/>
      <c r="I416" s="249">
        <v>6.2E-2</v>
      </c>
      <c r="J416" s="249"/>
      <c r="K416" s="247">
        <v>9.0999999999999998E-2</v>
      </c>
      <c r="L416" s="246">
        <v>0.10100000000000001</v>
      </c>
    </row>
    <row r="417" spans="1:14" ht="15.6" hidden="1" customHeight="1" outlineLevel="1" x14ac:dyDescent="0.25">
      <c r="A417" s="236"/>
      <c r="B417" s="239" t="s">
        <v>115</v>
      </c>
      <c r="C417" s="239" t="s">
        <v>123</v>
      </c>
      <c r="D417" s="239" t="s">
        <v>125</v>
      </c>
      <c r="E417" s="245" t="s">
        <v>92</v>
      </c>
      <c r="F417" s="249"/>
      <c r="G417" s="249"/>
      <c r="H417" s="249"/>
      <c r="I417" s="249">
        <v>2.1000000000000001E-2</v>
      </c>
      <c r="J417" s="249"/>
      <c r="K417" s="247">
        <v>4.3999999999999997E-2</v>
      </c>
      <c r="L417" s="246">
        <v>6.2E-2</v>
      </c>
      <c r="M417" s="236"/>
      <c r="N417" s="236"/>
    </row>
    <row r="418" spans="1:14" ht="15.6" hidden="1" customHeight="1" outlineLevel="1" x14ac:dyDescent="0.25">
      <c r="A418" s="236"/>
      <c r="B418" s="239" t="s">
        <v>115</v>
      </c>
      <c r="C418" s="239" t="s">
        <v>123</v>
      </c>
      <c r="D418" s="239" t="s">
        <v>125</v>
      </c>
      <c r="E418" s="245" t="s">
        <v>93</v>
      </c>
      <c r="F418" s="249"/>
      <c r="G418" s="249"/>
      <c r="H418" s="249"/>
      <c r="I418" s="249">
        <v>7.0000000000000007E-2</v>
      </c>
      <c r="J418" s="249"/>
      <c r="K418" s="247">
        <v>0.16700000000000001</v>
      </c>
      <c r="L418" s="246">
        <v>0.186</v>
      </c>
      <c r="M418" s="236"/>
      <c r="N418" s="236"/>
    </row>
    <row r="419" spans="1:14" ht="15.6" hidden="1" customHeight="1" outlineLevel="1" x14ac:dyDescent="0.25">
      <c r="A419" s="236"/>
      <c r="B419" s="239" t="s">
        <v>115</v>
      </c>
      <c r="C419" s="239" t="s">
        <v>123</v>
      </c>
      <c r="D419" s="239" t="s">
        <v>125</v>
      </c>
      <c r="E419" s="245" t="s">
        <v>94</v>
      </c>
      <c r="F419" s="246">
        <v>3.6000000000000004E-2</v>
      </c>
      <c r="G419" s="247">
        <v>4.1000000000000002E-2</v>
      </c>
      <c r="H419" s="248">
        <v>5.2999999999999999E-2</v>
      </c>
      <c r="I419" s="249">
        <v>5.9000000000000004E-2</v>
      </c>
      <c r="J419" s="248">
        <v>6.6000000000000003E-2</v>
      </c>
      <c r="K419" s="249"/>
      <c r="L419" s="249"/>
      <c r="M419" s="236"/>
      <c r="N419" s="236"/>
    </row>
    <row r="420" spans="1:14" ht="15.6" hidden="1" customHeight="1" outlineLevel="1" x14ac:dyDescent="0.25">
      <c r="A420" s="236"/>
      <c r="B420" s="239" t="s">
        <v>115</v>
      </c>
      <c r="C420" s="239" t="s">
        <v>123</v>
      </c>
      <c r="D420" s="239" t="s">
        <v>125</v>
      </c>
      <c r="E420" s="245" t="s">
        <v>95</v>
      </c>
      <c r="F420" s="249"/>
      <c r="G420" s="249"/>
      <c r="H420" s="249"/>
      <c r="I420" s="249">
        <v>1.4999999999999999E-2</v>
      </c>
      <c r="J420" s="249"/>
      <c r="K420" s="247">
        <v>1.9E-2</v>
      </c>
      <c r="L420" s="246">
        <v>2.1999999999999999E-2</v>
      </c>
      <c r="M420" s="236"/>
      <c r="N420" s="236"/>
    </row>
    <row r="421" spans="1:14" ht="15.6" hidden="1" customHeight="1" outlineLevel="1" x14ac:dyDescent="0.25">
      <c r="A421" s="236"/>
      <c r="B421" s="239" t="s">
        <v>115</v>
      </c>
      <c r="C421" s="239" t="s">
        <v>123</v>
      </c>
      <c r="D421" s="239" t="s">
        <v>125</v>
      </c>
      <c r="E421" s="245" t="s">
        <v>33</v>
      </c>
      <c r="F421" s="249"/>
      <c r="G421" s="249"/>
      <c r="H421" s="248">
        <v>5.8000000000000003E-2</v>
      </c>
      <c r="I421" s="249">
        <v>6.5000000000000002E-2</v>
      </c>
      <c r="J421" s="248">
        <v>7.1000000000000008E-2</v>
      </c>
      <c r="K421" s="247">
        <v>7.9000000000000001E-2</v>
      </c>
      <c r="L421" s="246">
        <v>9.1999999999999998E-2</v>
      </c>
      <c r="M421" s="236"/>
      <c r="N421" s="236"/>
    </row>
    <row r="422" spans="1:14" ht="15.6" hidden="1" customHeight="1" outlineLevel="1" x14ac:dyDescent="0.25">
      <c r="A422" s="236"/>
      <c r="B422" s="239" t="s">
        <v>115</v>
      </c>
      <c r="C422" s="239" t="s">
        <v>123</v>
      </c>
      <c r="D422" s="239" t="s">
        <v>125</v>
      </c>
      <c r="E422" s="245" t="s">
        <v>4</v>
      </c>
      <c r="F422" s="250">
        <v>13.9</v>
      </c>
      <c r="G422" s="251">
        <v>14.5</v>
      </c>
      <c r="H422" s="252">
        <v>15.5</v>
      </c>
      <c r="I422" s="253">
        <v>16</v>
      </c>
      <c r="J422" s="252">
        <v>16.400000000000002</v>
      </c>
      <c r="K422" s="251">
        <v>16.8</v>
      </c>
      <c r="L422" s="250">
        <v>20.6</v>
      </c>
      <c r="M422" s="236"/>
      <c r="N422" s="236"/>
    </row>
    <row r="423" spans="1:14" ht="15.6" hidden="1" customHeight="1" outlineLevel="1" x14ac:dyDescent="0.25">
      <c r="A423" s="236"/>
      <c r="B423" s="239" t="s">
        <v>115</v>
      </c>
      <c r="C423" s="239" t="s">
        <v>123</v>
      </c>
      <c r="D423" s="239" t="s">
        <v>125</v>
      </c>
      <c r="E423" s="245" t="s">
        <v>14</v>
      </c>
      <c r="F423" s="250">
        <v>7.3000000000000007</v>
      </c>
      <c r="G423" s="251">
        <v>8</v>
      </c>
      <c r="H423" s="252">
        <v>8.8000000000000007</v>
      </c>
      <c r="I423" s="253">
        <v>9.2000000000000011</v>
      </c>
      <c r="J423" s="252">
        <v>9.5</v>
      </c>
      <c r="K423" s="251">
        <v>10.200000000000001</v>
      </c>
      <c r="L423" s="250">
        <v>10.9</v>
      </c>
      <c r="M423" s="236"/>
      <c r="N423" s="236"/>
    </row>
    <row r="424" spans="1:14" ht="15.6" hidden="1" customHeight="1" outlineLevel="1" x14ac:dyDescent="0.25">
      <c r="A424" s="236"/>
      <c r="B424" s="239" t="s">
        <v>115</v>
      </c>
      <c r="C424" s="239" t="s">
        <v>123</v>
      </c>
      <c r="D424" s="239" t="s">
        <v>125</v>
      </c>
      <c r="E424" s="245" t="s">
        <v>0</v>
      </c>
      <c r="F424" s="250">
        <v>20.700000000000003</v>
      </c>
      <c r="G424" s="251">
        <v>21.1</v>
      </c>
      <c r="H424" s="252">
        <v>22</v>
      </c>
      <c r="I424" s="253">
        <v>22.3</v>
      </c>
      <c r="J424" s="252">
        <v>23</v>
      </c>
      <c r="K424" s="251">
        <v>24.3</v>
      </c>
      <c r="L424" s="250">
        <v>25.400000000000002</v>
      </c>
      <c r="M424" s="236"/>
      <c r="N424" s="236"/>
    </row>
    <row r="425" spans="1:14" ht="15.6" hidden="1" customHeight="1" outlineLevel="1" x14ac:dyDescent="0.25">
      <c r="A425" s="236"/>
      <c r="B425" s="236"/>
      <c r="C425" s="236"/>
      <c r="D425" s="236"/>
      <c r="E425" s="236"/>
      <c r="F425" s="236"/>
      <c r="G425" s="236"/>
      <c r="H425" s="236"/>
      <c r="I425" s="236"/>
      <c r="J425" s="236"/>
      <c r="K425" s="236"/>
      <c r="L425" s="236"/>
      <c r="M425" s="236"/>
      <c r="N425" s="236"/>
    </row>
    <row r="426" spans="1:14" ht="15.75" collapsed="1" x14ac:dyDescent="0.25">
      <c r="A426" s="236"/>
      <c r="B426" s="236"/>
      <c r="C426" s="236"/>
      <c r="D426" s="236"/>
      <c r="E426" s="236"/>
      <c r="F426" s="236"/>
      <c r="G426" s="236"/>
      <c r="H426" s="236"/>
      <c r="I426" s="236"/>
      <c r="J426" s="236"/>
      <c r="K426" s="236"/>
      <c r="L426" s="236"/>
      <c r="M426" s="236"/>
      <c r="N426" s="236"/>
    </row>
    <row r="427" spans="1:14" s="235" customFormat="1" ht="62.1" customHeight="1" x14ac:dyDescent="0.25">
      <c r="A427" s="241" t="s">
        <v>129</v>
      </c>
      <c r="B427" s="241" t="s">
        <v>15</v>
      </c>
      <c r="C427" s="241" t="s">
        <v>130</v>
      </c>
      <c r="D427" s="400" t="s">
        <v>131</v>
      </c>
      <c r="E427" s="400"/>
      <c r="F427" s="243" t="s">
        <v>132</v>
      </c>
      <c r="G427" s="243" t="s">
        <v>133</v>
      </c>
      <c r="H427" s="243" t="s">
        <v>134</v>
      </c>
      <c r="I427" s="243" t="s">
        <v>139</v>
      </c>
      <c r="J427" s="243" t="s">
        <v>138</v>
      </c>
      <c r="K427" s="243" t="s">
        <v>135</v>
      </c>
      <c r="L427" s="243" t="s">
        <v>136</v>
      </c>
      <c r="M427" s="242"/>
      <c r="N427" s="242" t="s">
        <v>137</v>
      </c>
    </row>
    <row r="428" spans="1:14" ht="15.75" x14ac:dyDescent="0.25">
      <c r="A428" s="237">
        <v>127</v>
      </c>
      <c r="B428" s="239" t="s">
        <v>116</v>
      </c>
      <c r="C428" s="239" t="s">
        <v>126</v>
      </c>
      <c r="D428" s="236"/>
      <c r="E428" s="244" t="s">
        <v>217</v>
      </c>
      <c r="F428" s="236"/>
      <c r="G428" s="236"/>
      <c r="H428" s="236"/>
      <c r="I428" s="236"/>
      <c r="J428" s="236"/>
      <c r="K428" s="236"/>
      <c r="L428" s="236"/>
      <c r="M428" s="236"/>
      <c r="N428" s="236"/>
    </row>
    <row r="429" spans="1:14" ht="15.6" hidden="1" customHeight="1" outlineLevel="1" x14ac:dyDescent="0.25">
      <c r="A429" s="236"/>
      <c r="B429" s="239" t="s">
        <v>116</v>
      </c>
      <c r="C429" s="239" t="s">
        <v>126</v>
      </c>
      <c r="D429" s="236"/>
      <c r="E429" s="245" t="s">
        <v>88</v>
      </c>
      <c r="F429" s="246">
        <v>0.25900000000000001</v>
      </c>
      <c r="G429" s="247">
        <v>0.28300000000000003</v>
      </c>
      <c r="H429" s="248">
        <v>0.33</v>
      </c>
      <c r="I429" s="249">
        <v>0.34900000000000003</v>
      </c>
      <c r="J429" s="248">
        <v>0.375</v>
      </c>
      <c r="K429" s="247">
        <v>0.44400000000000001</v>
      </c>
      <c r="L429" s="246">
        <v>0.48199999999999998</v>
      </c>
      <c r="M429" s="236"/>
      <c r="N429" s="236"/>
    </row>
    <row r="430" spans="1:14" ht="15.6" hidden="1" customHeight="1" outlineLevel="1" x14ac:dyDescent="0.25">
      <c r="A430" s="236"/>
      <c r="B430" s="239" t="s">
        <v>116</v>
      </c>
      <c r="C430" s="239" t="s">
        <v>126</v>
      </c>
      <c r="D430" s="236"/>
      <c r="E430" s="245" t="s">
        <v>89</v>
      </c>
      <c r="F430" s="249"/>
      <c r="G430" s="249"/>
      <c r="H430" s="248">
        <v>2.1000000000000001E-2</v>
      </c>
      <c r="I430" s="249">
        <v>2.8000000000000001E-2</v>
      </c>
      <c r="J430" s="248">
        <v>5.5E-2</v>
      </c>
      <c r="K430" s="247">
        <v>0.10400000000000001</v>
      </c>
      <c r="L430" s="246">
        <v>0.14499999999999999</v>
      </c>
      <c r="M430" s="236"/>
      <c r="N430" s="236"/>
    </row>
    <row r="431" spans="1:14" ht="15.6" hidden="1" customHeight="1" outlineLevel="1" x14ac:dyDescent="0.25">
      <c r="A431" s="236"/>
      <c r="B431" s="239" t="s">
        <v>116</v>
      </c>
      <c r="C431" s="239" t="s">
        <v>126</v>
      </c>
      <c r="D431" s="236"/>
      <c r="E431" s="245" t="s">
        <v>90</v>
      </c>
      <c r="F431" s="249"/>
      <c r="G431" s="249"/>
      <c r="H431" s="248">
        <v>0.25600000000000001</v>
      </c>
      <c r="I431" s="249">
        <v>0.27800000000000002</v>
      </c>
      <c r="J431" s="248">
        <v>0.30499999999999999</v>
      </c>
      <c r="K431" s="247">
        <v>0.372</v>
      </c>
      <c r="L431" s="246">
        <v>0.40400000000000003</v>
      </c>
      <c r="M431" s="236"/>
      <c r="N431" s="236"/>
    </row>
    <row r="432" spans="1:14" ht="15.6" hidden="1" customHeight="1" outlineLevel="1" x14ac:dyDescent="0.25">
      <c r="A432" s="236"/>
      <c r="B432" s="239" t="s">
        <v>116</v>
      </c>
      <c r="C432" s="239" t="s">
        <v>126</v>
      </c>
      <c r="D432" s="236"/>
      <c r="E432" s="245" t="s">
        <v>91</v>
      </c>
      <c r="F432" s="249"/>
      <c r="G432" s="249"/>
      <c r="H432" s="249"/>
      <c r="I432" s="249">
        <v>2.6000000000000002E-2</v>
      </c>
      <c r="J432" s="249"/>
      <c r="K432" s="247">
        <v>8.1000000000000003E-2</v>
      </c>
      <c r="L432" s="246">
        <v>0.113</v>
      </c>
      <c r="M432" s="236"/>
      <c r="N432" s="236"/>
    </row>
    <row r="433" spans="1:12" ht="15.6" hidden="1" customHeight="1" outlineLevel="1" x14ac:dyDescent="0.25">
      <c r="A433" s="236"/>
      <c r="B433" s="239" t="s">
        <v>116</v>
      </c>
      <c r="C433" s="239" t="s">
        <v>126</v>
      </c>
      <c r="D433" s="236"/>
      <c r="E433" s="245" t="s">
        <v>92</v>
      </c>
      <c r="F433" s="249"/>
      <c r="G433" s="249"/>
      <c r="H433" s="249"/>
      <c r="I433" s="249">
        <v>2.1000000000000001E-2</v>
      </c>
      <c r="J433" s="249"/>
      <c r="K433" s="247">
        <v>0.04</v>
      </c>
      <c r="L433" s="246">
        <v>5.5E-2</v>
      </c>
    </row>
    <row r="434" spans="1:12" ht="15.6" hidden="1" customHeight="1" outlineLevel="1" x14ac:dyDescent="0.25">
      <c r="A434" s="236"/>
      <c r="B434" s="239" t="s">
        <v>116</v>
      </c>
      <c r="C434" s="239" t="s">
        <v>126</v>
      </c>
      <c r="D434" s="236"/>
      <c r="E434" s="245" t="s">
        <v>93</v>
      </c>
      <c r="F434" s="249"/>
      <c r="G434" s="249"/>
      <c r="H434" s="249"/>
      <c r="I434" s="249">
        <v>7.6999999999999999E-2</v>
      </c>
      <c r="J434" s="249"/>
      <c r="K434" s="247">
        <v>0.10300000000000001</v>
      </c>
      <c r="L434" s="246">
        <v>0.115</v>
      </c>
    </row>
    <row r="435" spans="1:12" ht="15.6" hidden="1" customHeight="1" outlineLevel="1" x14ac:dyDescent="0.25">
      <c r="A435" s="236"/>
      <c r="B435" s="239" t="s">
        <v>116</v>
      </c>
      <c r="C435" s="239" t="s">
        <v>126</v>
      </c>
      <c r="D435" s="236"/>
      <c r="E435" s="245" t="s">
        <v>94</v>
      </c>
      <c r="F435" s="246">
        <v>1.7000000000000001E-2</v>
      </c>
      <c r="G435" s="247">
        <v>2.1000000000000001E-2</v>
      </c>
      <c r="H435" s="248">
        <v>3.1E-2</v>
      </c>
      <c r="I435" s="249">
        <v>3.5000000000000003E-2</v>
      </c>
      <c r="J435" s="248">
        <v>3.7999999999999999E-2</v>
      </c>
      <c r="K435" s="249"/>
      <c r="L435" s="249"/>
    </row>
    <row r="436" spans="1:12" ht="15.6" hidden="1" customHeight="1" outlineLevel="1" x14ac:dyDescent="0.25">
      <c r="A436" s="236"/>
      <c r="B436" s="239" t="s">
        <v>116</v>
      </c>
      <c r="C436" s="239" t="s">
        <v>126</v>
      </c>
      <c r="D436" s="236"/>
      <c r="E436" s="245" t="s">
        <v>95</v>
      </c>
      <c r="F436" s="249"/>
      <c r="G436" s="249"/>
      <c r="H436" s="249"/>
      <c r="I436" s="249">
        <v>0.01</v>
      </c>
      <c r="J436" s="249"/>
      <c r="K436" s="247">
        <v>1.4999999999999999E-2</v>
      </c>
      <c r="L436" s="246">
        <v>1.8000000000000002E-2</v>
      </c>
    </row>
    <row r="437" spans="1:12" ht="15.6" hidden="1" customHeight="1" outlineLevel="1" x14ac:dyDescent="0.25">
      <c r="A437" s="236"/>
      <c r="B437" s="239" t="s">
        <v>116</v>
      </c>
      <c r="C437" s="239" t="s">
        <v>126</v>
      </c>
      <c r="D437" s="236"/>
      <c r="E437" s="245" t="s">
        <v>33</v>
      </c>
      <c r="F437" s="249"/>
      <c r="G437" s="249"/>
      <c r="H437" s="248">
        <v>5.1000000000000004E-2</v>
      </c>
      <c r="I437" s="249">
        <v>5.9000000000000004E-2</v>
      </c>
      <c r="J437" s="248">
        <v>6.7000000000000004E-2</v>
      </c>
      <c r="K437" s="247">
        <v>8.8999999999999996E-2</v>
      </c>
      <c r="L437" s="246">
        <v>0.125</v>
      </c>
    </row>
    <row r="438" spans="1:12" ht="15.6" hidden="1" customHeight="1" outlineLevel="1" x14ac:dyDescent="0.25">
      <c r="A438" s="236"/>
      <c r="B438" s="239" t="s">
        <v>116</v>
      </c>
      <c r="C438" s="239" t="s">
        <v>126</v>
      </c>
      <c r="D438" s="236"/>
      <c r="E438" s="245" t="s">
        <v>4</v>
      </c>
      <c r="F438" s="250">
        <v>3.79</v>
      </c>
      <c r="G438" s="251">
        <v>4.4000000000000004</v>
      </c>
      <c r="H438" s="252">
        <v>5.33</v>
      </c>
      <c r="I438" s="253">
        <v>5.68</v>
      </c>
      <c r="J438" s="252">
        <v>6.03</v>
      </c>
      <c r="K438" s="251">
        <v>6.88</v>
      </c>
      <c r="L438" s="250">
        <v>7.3100000000000005</v>
      </c>
    </row>
    <row r="439" spans="1:12" ht="15.6" hidden="1" customHeight="1" outlineLevel="1" x14ac:dyDescent="0.25">
      <c r="A439" s="236"/>
      <c r="B439" s="239" t="s">
        <v>116</v>
      </c>
      <c r="C439" s="239" t="s">
        <v>126</v>
      </c>
      <c r="D439" s="236"/>
      <c r="E439" s="245" t="s">
        <v>14</v>
      </c>
      <c r="F439" s="250">
        <v>1.1400000000000001</v>
      </c>
      <c r="G439" s="251">
        <v>1.31</v>
      </c>
      <c r="H439" s="252">
        <v>1.49</v>
      </c>
      <c r="I439" s="253">
        <v>1.6500000000000001</v>
      </c>
      <c r="J439" s="252">
        <v>1.8</v>
      </c>
      <c r="K439" s="251">
        <v>2.35</v>
      </c>
      <c r="L439" s="250">
        <v>2.64</v>
      </c>
    </row>
    <row r="440" spans="1:12" ht="15.6" hidden="1" customHeight="1" outlineLevel="1" x14ac:dyDescent="0.25">
      <c r="A440" s="236"/>
      <c r="B440" s="239" t="s">
        <v>116</v>
      </c>
      <c r="C440" s="239" t="s">
        <v>126</v>
      </c>
      <c r="D440" s="236"/>
      <c r="E440" s="245" t="s">
        <v>32</v>
      </c>
      <c r="F440" s="256">
        <v>51595</v>
      </c>
      <c r="G440" s="257">
        <v>54591</v>
      </c>
      <c r="H440" s="258">
        <v>59929</v>
      </c>
      <c r="I440" s="259">
        <v>62112</v>
      </c>
      <c r="J440" s="258">
        <v>64488</v>
      </c>
      <c r="K440" s="257">
        <v>68792</v>
      </c>
      <c r="L440" s="256">
        <v>72936</v>
      </c>
    </row>
    <row r="441" spans="1:12" ht="15.6" hidden="1" customHeight="1" outlineLevel="1" x14ac:dyDescent="0.25">
      <c r="A441" s="236"/>
      <c r="B441" s="236"/>
      <c r="C441" s="236"/>
      <c r="D441" s="236"/>
      <c r="E441" s="236"/>
      <c r="F441" s="236"/>
      <c r="G441" s="236"/>
      <c r="H441" s="236"/>
      <c r="I441" s="236"/>
      <c r="J441" s="236"/>
      <c r="K441" s="236"/>
      <c r="L441" s="236"/>
    </row>
    <row r="442" spans="1:12" ht="15.75" collapsed="1" x14ac:dyDescent="0.25">
      <c r="A442" s="237">
        <v>774</v>
      </c>
      <c r="B442" s="239" t="s">
        <v>116</v>
      </c>
      <c r="C442" s="239" t="s">
        <v>127</v>
      </c>
      <c r="D442" s="236"/>
      <c r="E442" s="244" t="s">
        <v>219</v>
      </c>
      <c r="F442" s="236"/>
      <c r="G442" s="236"/>
      <c r="H442" s="236"/>
      <c r="I442" s="236"/>
      <c r="J442" s="236"/>
      <c r="K442" s="236"/>
      <c r="L442" s="236"/>
    </row>
    <row r="443" spans="1:12" ht="15.6" hidden="1" customHeight="1" outlineLevel="1" x14ac:dyDescent="0.25">
      <c r="A443" s="236"/>
      <c r="B443" s="239" t="s">
        <v>116</v>
      </c>
      <c r="C443" s="239" t="s">
        <v>127</v>
      </c>
      <c r="D443" s="236"/>
      <c r="E443" s="245" t="s">
        <v>88</v>
      </c>
      <c r="F443" s="246">
        <v>0.28899999999999998</v>
      </c>
      <c r="G443" s="247">
        <v>0.314</v>
      </c>
      <c r="H443" s="248">
        <v>0.35299999999999998</v>
      </c>
      <c r="I443" s="249">
        <v>0.36799999999999999</v>
      </c>
      <c r="J443" s="248">
        <v>0.38500000000000001</v>
      </c>
      <c r="K443" s="247">
        <v>0.432</v>
      </c>
      <c r="L443" s="246">
        <v>0.47400000000000003</v>
      </c>
    </row>
    <row r="444" spans="1:12" ht="15.6" hidden="1" customHeight="1" outlineLevel="1" x14ac:dyDescent="0.25">
      <c r="A444" s="236"/>
      <c r="B444" s="239" t="s">
        <v>116</v>
      </c>
      <c r="C444" s="239" t="s">
        <v>127</v>
      </c>
      <c r="D444" s="236"/>
      <c r="E444" s="245" t="s">
        <v>89</v>
      </c>
      <c r="F444" s="249"/>
      <c r="G444" s="249"/>
      <c r="H444" s="248">
        <v>1.0999999999999999E-2</v>
      </c>
      <c r="I444" s="249">
        <v>1.6E-2</v>
      </c>
      <c r="J444" s="248">
        <v>2.1000000000000001E-2</v>
      </c>
      <c r="K444" s="247">
        <v>4.3000000000000003E-2</v>
      </c>
      <c r="L444" s="246">
        <v>6.5000000000000002E-2</v>
      </c>
    </row>
    <row r="445" spans="1:12" ht="15.6" hidden="1" customHeight="1" outlineLevel="1" x14ac:dyDescent="0.25">
      <c r="A445" s="236"/>
      <c r="B445" s="239" t="s">
        <v>116</v>
      </c>
      <c r="C445" s="239" t="s">
        <v>127</v>
      </c>
      <c r="D445" s="236"/>
      <c r="E445" s="245" t="s">
        <v>90</v>
      </c>
      <c r="F445" s="249"/>
      <c r="G445" s="249"/>
      <c r="H445" s="248">
        <v>0.29899999999999999</v>
      </c>
      <c r="I445" s="249">
        <v>0.32600000000000001</v>
      </c>
      <c r="J445" s="248">
        <v>0.35199999999999998</v>
      </c>
      <c r="K445" s="247">
        <v>0.39400000000000002</v>
      </c>
      <c r="L445" s="246">
        <v>0.42199999999999999</v>
      </c>
    </row>
    <row r="446" spans="1:12" ht="15.6" hidden="1" customHeight="1" outlineLevel="1" x14ac:dyDescent="0.25">
      <c r="A446" s="236"/>
      <c r="B446" s="239" t="s">
        <v>116</v>
      </c>
      <c r="C446" s="239" t="s">
        <v>127</v>
      </c>
      <c r="D446" s="236"/>
      <c r="E446" s="245" t="s">
        <v>91</v>
      </c>
      <c r="F446" s="249"/>
      <c r="G446" s="249"/>
      <c r="H446" s="249"/>
      <c r="I446" s="249">
        <v>2.7E-2</v>
      </c>
      <c r="J446" s="249"/>
      <c r="K446" s="247">
        <v>5.7000000000000002E-2</v>
      </c>
      <c r="L446" s="246">
        <v>7.2000000000000008E-2</v>
      </c>
    </row>
    <row r="447" spans="1:12" ht="15.6" hidden="1" customHeight="1" outlineLevel="1" x14ac:dyDescent="0.25">
      <c r="A447" s="236"/>
      <c r="B447" s="239" t="s">
        <v>116</v>
      </c>
      <c r="C447" s="239" t="s">
        <v>127</v>
      </c>
      <c r="D447" s="236"/>
      <c r="E447" s="245" t="s">
        <v>92</v>
      </c>
      <c r="F447" s="249"/>
      <c r="G447" s="249"/>
      <c r="H447" s="249"/>
      <c r="I447" s="249">
        <v>0.03</v>
      </c>
      <c r="J447" s="249"/>
      <c r="K447" s="247">
        <v>5.3999999999999999E-2</v>
      </c>
      <c r="L447" s="246">
        <v>7.3999999999999996E-2</v>
      </c>
    </row>
    <row r="448" spans="1:12" ht="15.6" hidden="1" customHeight="1" outlineLevel="1" x14ac:dyDescent="0.25">
      <c r="A448" s="236"/>
      <c r="B448" s="239" t="s">
        <v>116</v>
      </c>
      <c r="C448" s="239" t="s">
        <v>127</v>
      </c>
      <c r="D448" s="236"/>
      <c r="E448" s="245" t="s">
        <v>93</v>
      </c>
      <c r="F448" s="249"/>
      <c r="G448" s="249"/>
      <c r="H448" s="249"/>
      <c r="I448" s="249">
        <v>6.9000000000000006E-2</v>
      </c>
      <c r="J448" s="249"/>
      <c r="K448" s="247">
        <v>9.5000000000000001E-2</v>
      </c>
      <c r="L448" s="246">
        <v>0.113</v>
      </c>
    </row>
    <row r="449" spans="1:18" ht="15.6" hidden="1" customHeight="1" outlineLevel="1" x14ac:dyDescent="0.25">
      <c r="A449" s="236"/>
      <c r="B449" s="239" t="s">
        <v>116</v>
      </c>
      <c r="C449" s="239" t="s">
        <v>127</v>
      </c>
      <c r="D449" s="236"/>
      <c r="E449" s="245" t="s">
        <v>94</v>
      </c>
      <c r="F449" s="246">
        <v>0.02</v>
      </c>
      <c r="G449" s="247">
        <v>2.4E-2</v>
      </c>
      <c r="H449" s="248">
        <v>3.2000000000000001E-2</v>
      </c>
      <c r="I449" s="249">
        <v>3.6000000000000004E-2</v>
      </c>
      <c r="J449" s="248">
        <v>4.1000000000000002E-2</v>
      </c>
      <c r="K449" s="249"/>
      <c r="L449" s="249"/>
    </row>
    <row r="450" spans="1:18" ht="15.6" hidden="1" customHeight="1" outlineLevel="1" x14ac:dyDescent="0.25">
      <c r="A450" s="236"/>
      <c r="B450" s="239" t="s">
        <v>116</v>
      </c>
      <c r="C450" s="239" t="s">
        <v>127</v>
      </c>
      <c r="D450" s="236"/>
      <c r="E450" s="245" t="s">
        <v>95</v>
      </c>
      <c r="F450" s="249"/>
      <c r="G450" s="249"/>
      <c r="H450" s="249"/>
      <c r="I450" s="249">
        <v>1.0999999999999999E-2</v>
      </c>
      <c r="J450" s="249"/>
      <c r="K450" s="247">
        <v>1.6E-2</v>
      </c>
      <c r="L450" s="246">
        <v>1.9E-2</v>
      </c>
    </row>
    <row r="451" spans="1:18" ht="15.6" hidden="1" customHeight="1" outlineLevel="1" x14ac:dyDescent="0.25">
      <c r="A451" s="236"/>
      <c r="B451" s="239" t="s">
        <v>116</v>
      </c>
      <c r="C451" s="239" t="s">
        <v>127</v>
      </c>
      <c r="D451" s="236"/>
      <c r="E451" s="245" t="s">
        <v>33</v>
      </c>
      <c r="F451" s="249"/>
      <c r="G451" s="249"/>
      <c r="H451" s="248">
        <v>0.05</v>
      </c>
      <c r="I451" s="249">
        <v>5.6000000000000001E-2</v>
      </c>
      <c r="J451" s="248">
        <v>6.0999999999999999E-2</v>
      </c>
      <c r="K451" s="247">
        <v>8.3000000000000004E-2</v>
      </c>
      <c r="L451" s="246">
        <v>0.10200000000000001</v>
      </c>
    </row>
    <row r="452" spans="1:18" ht="15.6" hidden="1" customHeight="1" outlineLevel="1" x14ac:dyDescent="0.25">
      <c r="A452" s="236"/>
      <c r="B452" s="239" t="s">
        <v>116</v>
      </c>
      <c r="C452" s="239" t="s">
        <v>127</v>
      </c>
      <c r="D452" s="236"/>
      <c r="E452" s="245" t="s">
        <v>4</v>
      </c>
      <c r="F452" s="250">
        <v>4.54</v>
      </c>
      <c r="G452" s="251">
        <v>5.38</v>
      </c>
      <c r="H452" s="252">
        <v>6.34</v>
      </c>
      <c r="I452" s="253">
        <v>6.75</v>
      </c>
      <c r="J452" s="252">
        <v>7.07</v>
      </c>
      <c r="K452" s="251">
        <v>7.8900000000000006</v>
      </c>
      <c r="L452" s="250">
        <v>8.73</v>
      </c>
    </row>
    <row r="453" spans="1:18" ht="15.6" hidden="1" customHeight="1" outlineLevel="1" x14ac:dyDescent="0.25">
      <c r="A453" s="236"/>
      <c r="B453" s="239" t="s">
        <v>116</v>
      </c>
      <c r="C453" s="239" t="s">
        <v>127</v>
      </c>
      <c r="D453" s="236"/>
      <c r="E453" s="245" t="s">
        <v>14</v>
      </c>
      <c r="F453" s="250">
        <v>1.35</v>
      </c>
      <c r="G453" s="251">
        <v>1.5</v>
      </c>
      <c r="H453" s="252">
        <v>1.76</v>
      </c>
      <c r="I453" s="253">
        <v>1.87</v>
      </c>
      <c r="J453" s="252">
        <v>2.0100000000000002</v>
      </c>
      <c r="K453" s="251">
        <v>2.4</v>
      </c>
      <c r="L453" s="250">
        <v>2.82</v>
      </c>
    </row>
    <row r="454" spans="1:18" ht="15.6" hidden="1" customHeight="1" outlineLevel="1" x14ac:dyDescent="0.25">
      <c r="A454" s="236"/>
      <c r="B454" s="239" t="s">
        <v>116</v>
      </c>
      <c r="C454" s="239" t="s">
        <v>127</v>
      </c>
      <c r="D454" s="236"/>
      <c r="E454" s="245" t="s">
        <v>32</v>
      </c>
      <c r="F454" s="256">
        <v>47992</v>
      </c>
      <c r="G454" s="257">
        <v>50811</v>
      </c>
      <c r="H454" s="258">
        <v>53922</v>
      </c>
      <c r="I454" s="259">
        <v>55436</v>
      </c>
      <c r="J454" s="258">
        <v>57128</v>
      </c>
      <c r="K454" s="257">
        <v>61170</v>
      </c>
      <c r="L454" s="256">
        <v>65793</v>
      </c>
    </row>
    <row r="455" spans="1:18" ht="15.6" hidden="1" customHeight="1" outlineLevel="1" x14ac:dyDescent="0.25">
      <c r="A455" s="236"/>
      <c r="B455" s="236"/>
      <c r="C455" s="236"/>
      <c r="D455" s="236"/>
      <c r="E455" s="236"/>
      <c r="F455" s="236"/>
      <c r="G455" s="236"/>
      <c r="H455" s="236"/>
      <c r="I455" s="236"/>
      <c r="J455" s="236"/>
      <c r="K455" s="236"/>
      <c r="L455" s="236"/>
    </row>
    <row r="456" spans="1:18" ht="15.75" collapsed="1" x14ac:dyDescent="0.25">
      <c r="A456" s="237">
        <v>48</v>
      </c>
      <c r="B456" s="239" t="s">
        <v>117</v>
      </c>
      <c r="C456" s="239" t="s">
        <v>126</v>
      </c>
      <c r="D456" s="236"/>
      <c r="E456" s="244" t="s">
        <v>218</v>
      </c>
      <c r="F456" s="236"/>
      <c r="G456" s="236"/>
      <c r="H456" s="236"/>
      <c r="I456" s="236"/>
      <c r="J456" s="236"/>
      <c r="K456" s="236"/>
      <c r="L456" s="236"/>
    </row>
    <row r="457" spans="1:18" ht="15.6" hidden="1" customHeight="1" outlineLevel="1" x14ac:dyDescent="0.25">
      <c r="A457" s="236"/>
      <c r="B457" s="239" t="s">
        <v>117</v>
      </c>
      <c r="C457" s="239" t="s">
        <v>126</v>
      </c>
      <c r="D457" s="236"/>
      <c r="E457" s="245" t="s">
        <v>88</v>
      </c>
      <c r="F457" s="246">
        <v>0.31404580599999998</v>
      </c>
      <c r="G457" s="247">
        <v>0.33932489700000001</v>
      </c>
      <c r="H457" s="248">
        <v>0.42402457399999999</v>
      </c>
      <c r="I457" s="249">
        <v>0.43413502999999998</v>
      </c>
      <c r="J457" s="248">
        <v>0.46754111100000001</v>
      </c>
      <c r="K457" s="247">
        <v>0.54091052299999998</v>
      </c>
      <c r="L457" s="246">
        <v>0.57603698299999995</v>
      </c>
      <c r="M457" s="262"/>
      <c r="N457" s="262"/>
      <c r="O457" s="262"/>
      <c r="P457" s="262"/>
      <c r="Q457" s="262"/>
      <c r="R457" s="262"/>
    </row>
    <row r="458" spans="1:18" ht="15.6" hidden="1" customHeight="1" outlineLevel="1" x14ac:dyDescent="0.25">
      <c r="A458" s="236"/>
      <c r="B458" s="239" t="s">
        <v>117</v>
      </c>
      <c r="C458" s="239" t="s">
        <v>126</v>
      </c>
      <c r="D458" s="236"/>
      <c r="E458" s="245" t="s">
        <v>89</v>
      </c>
      <c r="F458" s="249"/>
      <c r="G458" s="249"/>
      <c r="H458" s="248">
        <v>3.8390763000000001E-2</v>
      </c>
      <c r="I458" s="249">
        <v>6.0562111000000002E-2</v>
      </c>
      <c r="J458" s="248">
        <v>7.1701688999999999E-2</v>
      </c>
      <c r="K458" s="247">
        <v>0.11839216700000001</v>
      </c>
      <c r="L458" s="246">
        <v>0.15533176400000001</v>
      </c>
      <c r="M458" s="262"/>
      <c r="N458" s="262"/>
      <c r="O458" s="262"/>
      <c r="P458" s="262"/>
      <c r="Q458" s="262"/>
    </row>
    <row r="459" spans="1:18" ht="15.6" hidden="1" customHeight="1" outlineLevel="1" x14ac:dyDescent="0.25">
      <c r="A459" s="236"/>
      <c r="B459" s="239" t="s">
        <v>117</v>
      </c>
      <c r="C459" s="239" t="s">
        <v>126</v>
      </c>
      <c r="D459" s="236"/>
      <c r="E459" s="245" t="s">
        <v>90</v>
      </c>
      <c r="F459" s="249"/>
      <c r="G459" s="249"/>
      <c r="H459" s="248">
        <v>0.155007004</v>
      </c>
      <c r="I459" s="249">
        <v>0.17721990600000001</v>
      </c>
      <c r="J459" s="248">
        <v>0.19680500200000001</v>
      </c>
      <c r="K459" s="247">
        <v>0.25603827899999998</v>
      </c>
      <c r="L459" s="246">
        <v>0.276155553</v>
      </c>
      <c r="M459" s="262"/>
      <c r="N459" s="262"/>
      <c r="O459" s="262"/>
      <c r="P459" s="262"/>
      <c r="Q459" s="262"/>
    </row>
    <row r="460" spans="1:18" ht="15.6" hidden="1" customHeight="1" outlineLevel="1" x14ac:dyDescent="0.25">
      <c r="A460" s="236"/>
      <c r="B460" s="239" t="s">
        <v>117</v>
      </c>
      <c r="C460" s="239" t="s">
        <v>126</v>
      </c>
      <c r="D460" s="236"/>
      <c r="E460" s="245" t="s">
        <v>91</v>
      </c>
      <c r="F460" s="249"/>
      <c r="G460" s="249"/>
      <c r="H460" s="249"/>
      <c r="I460" s="249">
        <v>1.4357697000000001E-2</v>
      </c>
      <c r="J460" s="249"/>
      <c r="K460" s="247">
        <v>5.0700944999999997E-2</v>
      </c>
      <c r="L460" s="246">
        <v>6.7317222999999995E-2</v>
      </c>
      <c r="M460" s="262"/>
      <c r="N460" s="262"/>
    </row>
    <row r="461" spans="1:18" ht="15.6" hidden="1" customHeight="1" outlineLevel="1" x14ac:dyDescent="0.25">
      <c r="A461" s="236"/>
      <c r="B461" s="239" t="s">
        <v>117</v>
      </c>
      <c r="C461" s="239" t="s">
        <v>126</v>
      </c>
      <c r="D461" s="236"/>
      <c r="E461" s="245" t="s">
        <v>92</v>
      </c>
      <c r="F461" s="249"/>
      <c r="G461" s="249"/>
      <c r="H461" s="249"/>
      <c r="I461" s="249">
        <v>1.4379802000000001E-2</v>
      </c>
      <c r="J461" s="249"/>
      <c r="K461" s="247">
        <v>2.7609904000000001E-2</v>
      </c>
      <c r="L461" s="246">
        <v>5.3631779999999997E-2</v>
      </c>
      <c r="M461" s="262"/>
      <c r="N461" s="262"/>
    </row>
    <row r="462" spans="1:18" ht="15.6" hidden="1" customHeight="1" outlineLevel="1" x14ac:dyDescent="0.25">
      <c r="A462" s="236"/>
      <c r="B462" s="239" t="s">
        <v>117</v>
      </c>
      <c r="C462" s="239" t="s">
        <v>126</v>
      </c>
      <c r="D462" s="236"/>
      <c r="E462" s="245" t="s">
        <v>93</v>
      </c>
      <c r="F462" s="249"/>
      <c r="G462" s="249"/>
      <c r="H462" s="249"/>
      <c r="I462" s="249">
        <v>8.0728064000000002E-2</v>
      </c>
      <c r="J462" s="249"/>
      <c r="K462" s="247">
        <v>0.110860792</v>
      </c>
      <c r="L462" s="246">
        <v>0.119735172</v>
      </c>
      <c r="M462" s="262"/>
      <c r="N462" s="262"/>
    </row>
    <row r="463" spans="1:18" ht="15.6" hidden="1" customHeight="1" outlineLevel="1" x14ac:dyDescent="0.25">
      <c r="A463" s="236"/>
      <c r="B463" s="239" t="s">
        <v>117</v>
      </c>
      <c r="C463" s="239" t="s">
        <v>126</v>
      </c>
      <c r="D463" s="236"/>
      <c r="E463" s="245" t="s">
        <v>94</v>
      </c>
      <c r="F463" s="246">
        <v>1.9511295000000001E-2</v>
      </c>
      <c r="G463" s="247">
        <v>2.2241159E-2</v>
      </c>
      <c r="H463" s="248">
        <v>3.0096621E-2</v>
      </c>
      <c r="I463" s="249">
        <v>3.4260553999999999E-2</v>
      </c>
      <c r="J463" s="248">
        <v>4.4422701000000002E-2</v>
      </c>
      <c r="K463" s="249"/>
      <c r="L463" s="249"/>
      <c r="M463" s="262"/>
      <c r="N463" s="262"/>
      <c r="O463" s="262"/>
      <c r="P463" s="262"/>
      <c r="Q463" s="262"/>
    </row>
    <row r="464" spans="1:18" ht="15.6" hidden="1" customHeight="1" outlineLevel="1" x14ac:dyDescent="0.25">
      <c r="A464" s="236"/>
      <c r="B464" s="239" t="s">
        <v>117</v>
      </c>
      <c r="C464" s="239" t="s">
        <v>126</v>
      </c>
      <c r="D464" s="236"/>
      <c r="E464" s="245" t="s">
        <v>95</v>
      </c>
      <c r="F464" s="249"/>
      <c r="G464" s="249"/>
      <c r="H464" s="249"/>
      <c r="I464" s="249">
        <v>6.2232920000000001E-3</v>
      </c>
      <c r="J464" s="249"/>
      <c r="K464" s="247">
        <v>1.0267930999999999E-2</v>
      </c>
      <c r="L464" s="246">
        <v>1.4241022000000001E-2</v>
      </c>
      <c r="M464" s="262"/>
      <c r="N464" s="262"/>
    </row>
    <row r="465" spans="1:19" ht="15.6" hidden="1" customHeight="1" outlineLevel="1" x14ac:dyDescent="0.25">
      <c r="A465" s="236"/>
      <c r="B465" s="239" t="s">
        <v>117</v>
      </c>
      <c r="C465" s="239" t="s">
        <v>126</v>
      </c>
      <c r="D465" s="236"/>
      <c r="E465" s="245" t="s">
        <v>33</v>
      </c>
      <c r="F465" s="249"/>
      <c r="G465" s="249"/>
      <c r="H465" s="248">
        <v>0.112199363</v>
      </c>
      <c r="I465" s="249">
        <v>0.131578947</v>
      </c>
      <c r="J465" s="248">
        <v>0.14697960800000001</v>
      </c>
      <c r="K465" s="247">
        <v>0.18755960999999999</v>
      </c>
      <c r="L465" s="246">
        <v>0.21783181400000001</v>
      </c>
      <c r="M465" s="262"/>
      <c r="N465" s="262"/>
      <c r="O465" s="262"/>
      <c r="P465" s="262"/>
      <c r="Q465" s="262"/>
    </row>
    <row r="466" spans="1:19" ht="15.6" hidden="1" customHeight="1" outlineLevel="1" x14ac:dyDescent="0.25">
      <c r="A466" s="236"/>
      <c r="B466" s="239" t="s">
        <v>117</v>
      </c>
      <c r="C466" s="239" t="s">
        <v>126</v>
      </c>
      <c r="D466" s="236"/>
      <c r="E466" s="245" t="s">
        <v>4</v>
      </c>
      <c r="F466" s="250">
        <v>2.8588505749999999</v>
      </c>
      <c r="G466" s="251">
        <v>3.6157735089999998</v>
      </c>
      <c r="H466" s="252">
        <v>4.4463118579999996</v>
      </c>
      <c r="I466" s="253">
        <v>4.8</v>
      </c>
      <c r="J466" s="252">
        <v>5.2450090740000004</v>
      </c>
      <c r="K466" s="251">
        <v>7.1415559770000003</v>
      </c>
      <c r="L466" s="250">
        <v>8.8045774649999995</v>
      </c>
      <c r="M466" s="262"/>
      <c r="N466" s="262"/>
      <c r="O466" s="262"/>
      <c r="P466" s="262"/>
      <c r="Q466" s="262"/>
      <c r="R466" s="262"/>
    </row>
    <row r="467" spans="1:19" ht="15.6" hidden="1" customHeight="1" outlineLevel="1" x14ac:dyDescent="0.25">
      <c r="A467" s="236"/>
      <c r="B467" s="239" t="s">
        <v>117</v>
      </c>
      <c r="C467" s="239" t="s">
        <v>126</v>
      </c>
      <c r="D467" s="236"/>
      <c r="E467" s="245" t="s">
        <v>14</v>
      </c>
      <c r="F467" s="250">
        <v>1.3670009240000001</v>
      </c>
      <c r="G467" s="251">
        <v>1.7454388030000001</v>
      </c>
      <c r="H467" s="252">
        <v>2.253687996</v>
      </c>
      <c r="I467" s="253">
        <v>2.5263157889999999</v>
      </c>
      <c r="J467" s="252">
        <v>2.6032640090000001</v>
      </c>
      <c r="K467" s="251">
        <v>3.6029262540000002</v>
      </c>
      <c r="L467" s="250">
        <v>4.0573644839999998</v>
      </c>
      <c r="M467" s="262"/>
      <c r="N467" s="262"/>
      <c r="O467" s="262"/>
      <c r="P467" s="262"/>
      <c r="Q467" s="262"/>
      <c r="R467" s="262"/>
    </row>
    <row r="468" spans="1:19" ht="15.6" hidden="1" customHeight="1" outlineLevel="1" x14ac:dyDescent="0.25">
      <c r="A468" s="236"/>
      <c r="B468" s="239" t="s">
        <v>117</v>
      </c>
      <c r="C468" s="239" t="s">
        <v>126</v>
      </c>
      <c r="D468" s="236"/>
      <c r="E468" s="245" t="s">
        <v>32</v>
      </c>
      <c r="F468" s="256">
        <v>33102.163540000001</v>
      </c>
      <c r="G468" s="257">
        <v>49025.722829999999</v>
      </c>
      <c r="H468" s="258">
        <v>57237.672050000001</v>
      </c>
      <c r="I468" s="259">
        <v>59741.34807</v>
      </c>
      <c r="J468" s="258">
        <v>62497.472900000001</v>
      </c>
      <c r="K468" s="257">
        <v>72883.649730000005</v>
      </c>
      <c r="L468" s="256">
        <v>88344.117199999993</v>
      </c>
      <c r="M468" s="262"/>
      <c r="N468" s="262"/>
      <c r="O468" s="262"/>
      <c r="P468" s="262"/>
      <c r="Q468" s="262"/>
      <c r="R468" s="262"/>
    </row>
    <row r="469" spans="1:19" ht="15.6" hidden="1" customHeight="1" outlineLevel="1" x14ac:dyDescent="0.25">
      <c r="A469" s="236"/>
      <c r="B469" s="236"/>
      <c r="C469" s="236"/>
      <c r="D469" s="236"/>
      <c r="E469" s="236"/>
      <c r="F469" s="236"/>
      <c r="G469" s="236"/>
      <c r="H469" s="236"/>
      <c r="I469" s="236"/>
      <c r="J469" s="236"/>
      <c r="K469" s="236"/>
      <c r="L469" s="236"/>
    </row>
    <row r="470" spans="1:19" ht="15.75" collapsed="1" x14ac:dyDescent="0.25">
      <c r="A470" s="237">
        <v>269</v>
      </c>
      <c r="B470" s="239" t="s">
        <v>117</v>
      </c>
      <c r="C470" s="239" t="s">
        <v>127</v>
      </c>
      <c r="D470" s="236"/>
      <c r="E470" s="244" t="s">
        <v>220</v>
      </c>
      <c r="F470" s="236"/>
      <c r="G470" s="236"/>
      <c r="H470" s="236"/>
      <c r="I470" s="236"/>
      <c r="J470" s="236"/>
      <c r="K470" s="236"/>
      <c r="L470" s="236"/>
    </row>
    <row r="471" spans="1:19" ht="15.6" hidden="1" customHeight="1" outlineLevel="1" x14ac:dyDescent="0.25">
      <c r="A471" s="236"/>
      <c r="B471" s="239" t="s">
        <v>117</v>
      </c>
      <c r="C471" s="239" t="s">
        <v>127</v>
      </c>
      <c r="D471" s="236"/>
      <c r="E471" s="245" t="s">
        <v>88</v>
      </c>
      <c r="F471" s="246">
        <v>0.29994790999999998</v>
      </c>
      <c r="G471" s="247">
        <v>0.35176923500000001</v>
      </c>
      <c r="H471" s="248">
        <v>0.40243492600000003</v>
      </c>
      <c r="I471" s="249">
        <v>0.43855814500000001</v>
      </c>
      <c r="J471" s="248">
        <v>0.47367132699999998</v>
      </c>
      <c r="K471" s="247">
        <v>0.53574708699999996</v>
      </c>
      <c r="L471" s="246">
        <v>0.58116021900000003</v>
      </c>
      <c r="M471" s="262"/>
      <c r="N471" s="262"/>
      <c r="O471" s="262"/>
      <c r="P471" s="262"/>
      <c r="Q471" s="262"/>
      <c r="R471" s="262"/>
    </row>
    <row r="472" spans="1:19" ht="15.6" hidden="1" customHeight="1" outlineLevel="1" x14ac:dyDescent="0.25">
      <c r="A472" s="236"/>
      <c r="B472" s="239" t="s">
        <v>117</v>
      </c>
      <c r="C472" s="239" t="s">
        <v>127</v>
      </c>
      <c r="D472" s="236"/>
      <c r="E472" s="245" t="s">
        <v>89</v>
      </c>
      <c r="F472" s="249"/>
      <c r="G472" s="249"/>
      <c r="H472" s="248">
        <v>2.4522892000000001E-2</v>
      </c>
      <c r="I472" s="249">
        <v>3.7610472999999998E-2</v>
      </c>
      <c r="J472" s="248">
        <v>5.3855339000000002E-2</v>
      </c>
      <c r="K472" s="247">
        <v>8.7172217999999996E-2</v>
      </c>
      <c r="L472" s="246">
        <v>0.117931945</v>
      </c>
      <c r="M472" s="262"/>
      <c r="N472" s="262"/>
      <c r="O472" s="262"/>
      <c r="P472" s="262"/>
      <c r="Q472" s="262"/>
    </row>
    <row r="473" spans="1:19" ht="15.6" hidden="1" customHeight="1" outlineLevel="1" x14ac:dyDescent="0.25">
      <c r="A473" s="236"/>
      <c r="B473" s="239" t="s">
        <v>117</v>
      </c>
      <c r="C473" s="239" t="s">
        <v>127</v>
      </c>
      <c r="D473" s="236"/>
      <c r="E473" s="245" t="s">
        <v>90</v>
      </c>
      <c r="F473" s="249"/>
      <c r="G473" s="249"/>
      <c r="H473" s="248">
        <v>0.15943115899999999</v>
      </c>
      <c r="I473" s="249">
        <v>0.18569750800000001</v>
      </c>
      <c r="J473" s="248">
        <v>0.20011269700000001</v>
      </c>
      <c r="K473" s="247">
        <v>0.24557723300000001</v>
      </c>
      <c r="L473" s="246">
        <v>0.28164666100000002</v>
      </c>
      <c r="M473" s="262"/>
      <c r="N473" s="262"/>
      <c r="O473" s="262"/>
      <c r="P473" s="262"/>
      <c r="Q473" s="262"/>
    </row>
    <row r="474" spans="1:19" ht="15.6" hidden="1" customHeight="1" outlineLevel="1" x14ac:dyDescent="0.25">
      <c r="A474" s="236"/>
      <c r="B474" s="239" t="s">
        <v>117</v>
      </c>
      <c r="C474" s="239" t="s">
        <v>127</v>
      </c>
      <c r="D474" s="236"/>
      <c r="E474" s="245" t="s">
        <v>91</v>
      </c>
      <c r="F474" s="249"/>
      <c r="G474" s="249"/>
      <c r="H474" s="249"/>
      <c r="I474" s="249">
        <v>1.7477627999999999E-2</v>
      </c>
      <c r="J474" s="249"/>
      <c r="K474" s="247">
        <v>6.5983451999999998E-2</v>
      </c>
      <c r="L474" s="246">
        <v>8.7068916999999996E-2</v>
      </c>
      <c r="M474" s="262"/>
      <c r="N474" s="262"/>
    </row>
    <row r="475" spans="1:19" ht="15.6" hidden="1" customHeight="1" outlineLevel="1" x14ac:dyDescent="0.25">
      <c r="A475" s="236"/>
      <c r="B475" s="239" t="s">
        <v>117</v>
      </c>
      <c r="C475" s="239" t="s">
        <v>127</v>
      </c>
      <c r="D475" s="236"/>
      <c r="E475" s="245" t="s">
        <v>92</v>
      </c>
      <c r="F475" s="249"/>
      <c r="G475" s="249"/>
      <c r="H475" s="249"/>
      <c r="I475" s="249">
        <v>2.0118797000000001E-2</v>
      </c>
      <c r="J475" s="249"/>
      <c r="K475" s="247">
        <v>3.5882860000000003E-2</v>
      </c>
      <c r="L475" s="246">
        <v>5.1859197000000003E-2</v>
      </c>
      <c r="M475" s="262"/>
      <c r="N475" s="262"/>
    </row>
    <row r="476" spans="1:19" ht="15.6" hidden="1" customHeight="1" outlineLevel="1" x14ac:dyDescent="0.25">
      <c r="A476" s="236"/>
      <c r="B476" s="239" t="s">
        <v>117</v>
      </c>
      <c r="C476" s="239" t="s">
        <v>127</v>
      </c>
      <c r="D476" s="236"/>
      <c r="E476" s="245" t="s">
        <v>93</v>
      </c>
      <c r="F476" s="249"/>
      <c r="G476" s="249"/>
      <c r="H476" s="249"/>
      <c r="I476" s="249">
        <v>7.0902818000000006E-2</v>
      </c>
      <c r="J476" s="249"/>
      <c r="K476" s="247">
        <v>0.105225549</v>
      </c>
      <c r="L476" s="246">
        <v>0.12944235100000001</v>
      </c>
      <c r="M476" s="262"/>
      <c r="N476" s="262"/>
    </row>
    <row r="477" spans="1:19" ht="15.6" hidden="1" customHeight="1" outlineLevel="1" x14ac:dyDescent="0.25">
      <c r="A477" s="236"/>
      <c r="B477" s="239" t="s">
        <v>117</v>
      </c>
      <c r="C477" s="239" t="s">
        <v>127</v>
      </c>
      <c r="D477" s="236"/>
      <c r="E477" s="245" t="s">
        <v>94</v>
      </c>
      <c r="F477" s="246">
        <v>2.0948881999999999E-2</v>
      </c>
      <c r="G477" s="247">
        <v>2.5837958000000001E-2</v>
      </c>
      <c r="H477" s="248">
        <v>3.6685795E-2</v>
      </c>
      <c r="I477" s="249">
        <v>4.3876442000000002E-2</v>
      </c>
      <c r="J477" s="248">
        <v>5.2631578999999998E-2</v>
      </c>
      <c r="K477" s="249"/>
      <c r="L477" s="249"/>
      <c r="M477" s="262"/>
      <c r="N477" s="262"/>
      <c r="O477" s="262"/>
      <c r="P477" s="262"/>
      <c r="Q477" s="262"/>
      <c r="R477" s="262"/>
      <c r="S477" s="262">
        <v>0.103868061</v>
      </c>
    </row>
    <row r="478" spans="1:19" ht="15.6" hidden="1" customHeight="1" outlineLevel="1" x14ac:dyDescent="0.25">
      <c r="A478" s="236"/>
      <c r="B478" s="239" t="s">
        <v>117</v>
      </c>
      <c r="C478" s="239" t="s">
        <v>127</v>
      </c>
      <c r="D478" s="236"/>
      <c r="E478" s="245" t="s">
        <v>95</v>
      </c>
      <c r="F478" s="249"/>
      <c r="G478" s="249"/>
      <c r="H478" s="249"/>
      <c r="I478" s="249">
        <v>8.1898820000000008E-3</v>
      </c>
      <c r="J478" s="249"/>
      <c r="K478" s="247">
        <v>1.199681E-2</v>
      </c>
      <c r="L478" s="246">
        <v>1.5058289000000001E-2</v>
      </c>
      <c r="M478" s="262"/>
      <c r="N478" s="262"/>
    </row>
    <row r="479" spans="1:19" ht="15.6" hidden="1" customHeight="1" outlineLevel="1" x14ac:dyDescent="0.25">
      <c r="A479" s="236"/>
      <c r="B479" s="239" t="s">
        <v>117</v>
      </c>
      <c r="C479" s="239" t="s">
        <v>127</v>
      </c>
      <c r="D479" s="236"/>
      <c r="E479" s="245" t="s">
        <v>33</v>
      </c>
      <c r="F479" s="249"/>
      <c r="G479" s="249"/>
      <c r="H479" s="248">
        <v>8.6419753000000002E-2</v>
      </c>
      <c r="I479" s="249">
        <v>9.9255582999999994E-2</v>
      </c>
      <c r="J479" s="248">
        <v>0.112149533</v>
      </c>
      <c r="K479" s="247">
        <v>0.14388489199999999</v>
      </c>
      <c r="L479" s="246">
        <v>0.18633540400000001</v>
      </c>
      <c r="M479" s="262"/>
      <c r="N479" s="262"/>
      <c r="O479" s="262"/>
      <c r="P479" s="262"/>
      <c r="Q479" s="262"/>
    </row>
    <row r="480" spans="1:19" ht="15.6" hidden="1" customHeight="1" outlineLevel="1" x14ac:dyDescent="0.25">
      <c r="A480" s="236"/>
      <c r="B480" s="239" t="s">
        <v>117</v>
      </c>
      <c r="C480" s="239" t="s">
        <v>127</v>
      </c>
      <c r="D480" s="236"/>
      <c r="E480" s="245" t="s">
        <v>4</v>
      </c>
      <c r="F480" s="250">
        <v>3.0232558140000001</v>
      </c>
      <c r="G480" s="251">
        <v>3.6956521740000001</v>
      </c>
      <c r="H480" s="252">
        <v>4.7317073169999997</v>
      </c>
      <c r="I480" s="253">
        <v>5.307692308</v>
      </c>
      <c r="J480" s="252">
        <v>5.75</v>
      </c>
      <c r="K480" s="251">
        <v>7.6041666670000003</v>
      </c>
      <c r="L480" s="250">
        <v>9.2936802969999999</v>
      </c>
      <c r="M480" s="262"/>
      <c r="N480" s="262"/>
      <c r="O480" s="262"/>
      <c r="P480" s="262"/>
      <c r="Q480" s="262"/>
      <c r="R480" s="262"/>
    </row>
    <row r="481" spans="1:18" ht="15.6" hidden="1" customHeight="1" outlineLevel="1" x14ac:dyDescent="0.25">
      <c r="A481" s="236"/>
      <c r="B481" s="239" t="s">
        <v>117</v>
      </c>
      <c r="C481" s="239" t="s">
        <v>127</v>
      </c>
      <c r="D481" s="236"/>
      <c r="E481" s="245" t="s">
        <v>14</v>
      </c>
      <c r="F481" s="250">
        <v>1.299435028</v>
      </c>
      <c r="G481" s="251">
        <v>1.6428571430000001</v>
      </c>
      <c r="H481" s="252">
        <v>2.1674876850000002</v>
      </c>
      <c r="I481" s="253">
        <v>2.3949579829999998</v>
      </c>
      <c r="J481" s="252">
        <v>2.613636364</v>
      </c>
      <c r="K481" s="251">
        <v>3.25</v>
      </c>
      <c r="L481" s="250">
        <v>3.8</v>
      </c>
      <c r="M481" s="262"/>
      <c r="N481" s="262"/>
      <c r="O481" s="262"/>
      <c r="P481" s="262"/>
      <c r="Q481" s="262"/>
      <c r="R481" s="262"/>
    </row>
    <row r="482" spans="1:18" ht="15.6" hidden="1" customHeight="1" outlineLevel="1" x14ac:dyDescent="0.25">
      <c r="A482" s="236"/>
      <c r="B482" s="239" t="s">
        <v>117</v>
      </c>
      <c r="C482" s="239" t="s">
        <v>127</v>
      </c>
      <c r="D482" s="236"/>
      <c r="E482" s="245" t="s">
        <v>32</v>
      </c>
      <c r="F482" s="256">
        <v>46171.576549999998</v>
      </c>
      <c r="G482" s="257">
        <v>50216.404640000001</v>
      </c>
      <c r="H482" s="258">
        <v>55488.903489999997</v>
      </c>
      <c r="I482" s="259">
        <v>57324.386460000002</v>
      </c>
      <c r="J482" s="258">
        <v>59123.835480000002</v>
      </c>
      <c r="K482" s="257">
        <v>64941.29</v>
      </c>
      <c r="L482" s="256">
        <v>77323.571429999996</v>
      </c>
      <c r="M482" s="262"/>
      <c r="N482" s="262"/>
      <c r="O482" s="262"/>
      <c r="P482" s="262"/>
      <c r="Q482" s="262"/>
      <c r="R482" s="262"/>
    </row>
    <row r="483" spans="1:18" ht="15.6" hidden="1" customHeight="1" outlineLevel="1" x14ac:dyDescent="0.25">
      <c r="A483" s="236"/>
      <c r="B483" s="236"/>
      <c r="C483" s="236"/>
      <c r="D483" s="236"/>
      <c r="E483" s="236"/>
      <c r="F483" s="236"/>
      <c r="G483" s="236"/>
      <c r="H483" s="236"/>
      <c r="I483" s="236"/>
      <c r="J483" s="236"/>
      <c r="K483" s="236"/>
      <c r="L483" s="236"/>
    </row>
    <row r="484" spans="1:18" ht="15.75" collapsed="1" x14ac:dyDescent="0.25">
      <c r="A484" s="237">
        <v>47</v>
      </c>
      <c r="B484" s="239" t="s">
        <v>21</v>
      </c>
      <c r="C484" s="239" t="s">
        <v>126</v>
      </c>
      <c r="D484" s="236"/>
      <c r="E484" s="244" t="s">
        <v>221</v>
      </c>
      <c r="F484" s="236"/>
      <c r="G484" s="236"/>
      <c r="H484" s="236"/>
      <c r="I484" s="236"/>
      <c r="J484" s="236"/>
      <c r="K484" s="236"/>
      <c r="L484" s="236"/>
    </row>
    <row r="485" spans="1:18" ht="15.6" hidden="1" customHeight="1" outlineLevel="1" x14ac:dyDescent="0.25">
      <c r="A485" s="236"/>
      <c r="B485" s="239" t="s">
        <v>21</v>
      </c>
      <c r="C485" s="239" t="s">
        <v>126</v>
      </c>
      <c r="D485" s="236"/>
      <c r="E485" s="245" t="s">
        <v>88</v>
      </c>
      <c r="F485" s="246">
        <v>0.46200000000000002</v>
      </c>
      <c r="G485" s="247">
        <v>0.47200000000000003</v>
      </c>
      <c r="H485" s="248">
        <v>0.51900000000000002</v>
      </c>
      <c r="I485" s="249">
        <v>0.53800000000000003</v>
      </c>
      <c r="J485" s="248">
        <v>0.56100000000000005</v>
      </c>
      <c r="K485" s="247">
        <v>0.59499999999999997</v>
      </c>
      <c r="L485" s="246">
        <v>0.60699999999999998</v>
      </c>
    </row>
    <row r="486" spans="1:18" ht="15.6" hidden="1" customHeight="1" outlineLevel="1" x14ac:dyDescent="0.25">
      <c r="A486" s="236"/>
      <c r="B486" s="239" t="s">
        <v>21</v>
      </c>
      <c r="C486" s="239" t="s">
        <v>126</v>
      </c>
      <c r="D486" s="236"/>
      <c r="E486" s="245" t="s">
        <v>89</v>
      </c>
      <c r="F486" s="249"/>
      <c r="G486" s="249"/>
      <c r="H486" s="248">
        <v>1.6E-2</v>
      </c>
      <c r="I486" s="249">
        <v>2.1000000000000001E-2</v>
      </c>
      <c r="J486" s="248">
        <v>0.03</v>
      </c>
      <c r="K486" s="247">
        <v>4.5999999999999999E-2</v>
      </c>
      <c r="L486" s="246">
        <v>5.5E-2</v>
      </c>
    </row>
    <row r="487" spans="1:18" ht="15.6" hidden="1" customHeight="1" outlineLevel="1" x14ac:dyDescent="0.25">
      <c r="A487" s="236"/>
      <c r="B487" s="239" t="s">
        <v>21</v>
      </c>
      <c r="C487" s="239" t="s">
        <v>126</v>
      </c>
      <c r="D487" s="236"/>
      <c r="E487" s="245" t="s">
        <v>90</v>
      </c>
      <c r="F487" s="249"/>
      <c r="G487" s="249"/>
      <c r="H487" s="248">
        <v>9.6000000000000002E-2</v>
      </c>
      <c r="I487" s="249">
        <v>0.107</v>
      </c>
      <c r="J487" s="248">
        <v>0.114</v>
      </c>
      <c r="K487" s="247">
        <v>0.14899999999999999</v>
      </c>
      <c r="L487" s="246">
        <v>0.16600000000000001</v>
      </c>
    </row>
    <row r="488" spans="1:18" ht="15.6" hidden="1" customHeight="1" outlineLevel="1" x14ac:dyDescent="0.25">
      <c r="A488" s="236"/>
      <c r="B488" s="239" t="s">
        <v>21</v>
      </c>
      <c r="C488" s="239" t="s">
        <v>126</v>
      </c>
      <c r="D488" s="236"/>
      <c r="E488" s="245" t="s">
        <v>91</v>
      </c>
      <c r="F488" s="249"/>
      <c r="G488" s="249"/>
      <c r="H488" s="249"/>
      <c r="I488" s="249">
        <v>7.0000000000000007E-2</v>
      </c>
      <c r="J488" s="249"/>
      <c r="K488" s="247">
        <v>9.8000000000000004E-2</v>
      </c>
      <c r="L488" s="246">
        <v>0.11700000000000001</v>
      </c>
    </row>
    <row r="489" spans="1:18" ht="15.6" hidden="1" customHeight="1" outlineLevel="1" x14ac:dyDescent="0.25">
      <c r="A489" s="236"/>
      <c r="B489" s="239" t="s">
        <v>21</v>
      </c>
      <c r="C489" s="239" t="s">
        <v>126</v>
      </c>
      <c r="D489" s="236"/>
      <c r="E489" s="245" t="s">
        <v>92</v>
      </c>
      <c r="F489" s="249"/>
      <c r="G489" s="249"/>
      <c r="H489" s="249"/>
      <c r="I489" s="249">
        <v>1.9E-2</v>
      </c>
      <c r="J489" s="249"/>
      <c r="K489" s="247">
        <v>3.3000000000000002E-2</v>
      </c>
      <c r="L489" s="246">
        <v>4.1000000000000002E-2</v>
      </c>
    </row>
    <row r="490" spans="1:18" ht="15.6" hidden="1" customHeight="1" outlineLevel="1" x14ac:dyDescent="0.25">
      <c r="A490" s="236"/>
      <c r="B490" s="239" t="s">
        <v>21</v>
      </c>
      <c r="C490" s="239" t="s">
        <v>126</v>
      </c>
      <c r="D490" s="236"/>
      <c r="E490" s="245" t="s">
        <v>93</v>
      </c>
      <c r="F490" s="249"/>
      <c r="G490" s="249"/>
      <c r="H490" s="249"/>
      <c r="I490" s="249">
        <v>4.8000000000000001E-2</v>
      </c>
      <c r="J490" s="249"/>
      <c r="K490" s="247">
        <v>7.2999999999999995E-2</v>
      </c>
      <c r="L490" s="246">
        <v>0.11</v>
      </c>
    </row>
    <row r="491" spans="1:18" ht="15.6" hidden="1" customHeight="1" outlineLevel="1" x14ac:dyDescent="0.25">
      <c r="A491" s="236"/>
      <c r="B491" s="239" t="s">
        <v>21</v>
      </c>
      <c r="C491" s="239" t="s">
        <v>126</v>
      </c>
      <c r="D491" s="236"/>
      <c r="E491" s="245" t="s">
        <v>94</v>
      </c>
      <c r="F491" s="246">
        <v>3.2000000000000001E-2</v>
      </c>
      <c r="G491" s="247">
        <v>3.6000000000000004E-2</v>
      </c>
      <c r="H491" s="248">
        <v>4.3000000000000003E-2</v>
      </c>
      <c r="I491" s="249">
        <v>0.05</v>
      </c>
      <c r="J491" s="248">
        <v>5.8000000000000003E-2</v>
      </c>
      <c r="K491" s="249"/>
      <c r="L491" s="249"/>
    </row>
    <row r="492" spans="1:18" ht="15.6" hidden="1" customHeight="1" outlineLevel="1" x14ac:dyDescent="0.25">
      <c r="A492" s="236"/>
      <c r="B492" s="239" t="s">
        <v>21</v>
      </c>
      <c r="C492" s="239" t="s">
        <v>126</v>
      </c>
      <c r="D492" s="236"/>
      <c r="E492" s="245" t="s">
        <v>95</v>
      </c>
      <c r="F492" s="249"/>
      <c r="G492" s="249"/>
      <c r="H492" s="249"/>
      <c r="I492" s="249">
        <v>1.4999999999999999E-2</v>
      </c>
      <c r="J492" s="249"/>
      <c r="K492" s="247">
        <v>2.1999999999999999E-2</v>
      </c>
      <c r="L492" s="246">
        <v>2.3E-2</v>
      </c>
    </row>
    <row r="493" spans="1:18" ht="15.6" hidden="1" customHeight="1" outlineLevel="1" x14ac:dyDescent="0.25">
      <c r="A493" s="236"/>
      <c r="B493" s="239" t="s">
        <v>21</v>
      </c>
      <c r="C493" s="239" t="s">
        <v>126</v>
      </c>
      <c r="D493" s="236"/>
      <c r="E493" s="245" t="s">
        <v>33</v>
      </c>
      <c r="F493" s="249"/>
      <c r="G493" s="249"/>
      <c r="H493" s="248">
        <v>7.2999999999999995E-2</v>
      </c>
      <c r="I493" s="249">
        <v>7.5999999999999998E-2</v>
      </c>
      <c r="J493" s="248">
        <v>7.9000000000000001E-2</v>
      </c>
      <c r="K493" s="247">
        <v>9.9000000000000005E-2</v>
      </c>
      <c r="L493" s="246">
        <v>0.111</v>
      </c>
    </row>
    <row r="494" spans="1:18" ht="15.6" hidden="1" customHeight="1" outlineLevel="1" x14ac:dyDescent="0.25">
      <c r="A494" s="236"/>
      <c r="B494" s="239" t="s">
        <v>21</v>
      </c>
      <c r="C494" s="239" t="s">
        <v>126</v>
      </c>
      <c r="D494" s="236"/>
      <c r="E494" s="245" t="s">
        <v>4</v>
      </c>
      <c r="F494" s="250">
        <v>13.780000000000001</v>
      </c>
      <c r="G494" s="251">
        <v>14.48</v>
      </c>
      <c r="H494" s="252">
        <v>15.4</v>
      </c>
      <c r="I494" s="253">
        <v>15.75</v>
      </c>
      <c r="J494" s="252">
        <v>16.399999999999999</v>
      </c>
      <c r="K494" s="251">
        <v>18.29</v>
      </c>
      <c r="L494" s="250">
        <v>19.37</v>
      </c>
    </row>
    <row r="495" spans="1:18" ht="15.6" hidden="1" customHeight="1" outlineLevel="1" x14ac:dyDescent="0.25">
      <c r="A495" s="236"/>
      <c r="B495" s="239" t="s">
        <v>21</v>
      </c>
      <c r="C495" s="239" t="s">
        <v>126</v>
      </c>
      <c r="D495" s="236"/>
      <c r="E495" s="245" t="s">
        <v>14</v>
      </c>
      <c r="F495" s="250">
        <v>7.9</v>
      </c>
      <c r="G495" s="251">
        <v>8.2799999999999994</v>
      </c>
      <c r="H495" s="252">
        <v>8.64</v>
      </c>
      <c r="I495" s="253">
        <v>9.1300000000000008</v>
      </c>
      <c r="J495" s="252">
        <v>9.84</v>
      </c>
      <c r="K495" s="251">
        <v>10.57</v>
      </c>
      <c r="L495" s="250">
        <v>11.07</v>
      </c>
    </row>
    <row r="496" spans="1:18" ht="15.6" hidden="1" customHeight="1" outlineLevel="1" x14ac:dyDescent="0.25">
      <c r="A496" s="236"/>
      <c r="B496" s="239" t="s">
        <v>21</v>
      </c>
      <c r="C496" s="239" t="s">
        <v>126</v>
      </c>
      <c r="D496" s="236"/>
      <c r="E496" s="245" t="s">
        <v>0</v>
      </c>
      <c r="F496" s="250">
        <v>20.18</v>
      </c>
      <c r="G496" s="251">
        <v>21.66</v>
      </c>
      <c r="H496" s="252">
        <v>22.84</v>
      </c>
      <c r="I496" s="253">
        <v>23.650000000000002</v>
      </c>
      <c r="J496" s="252">
        <v>24.38</v>
      </c>
      <c r="K496" s="251">
        <v>25.3</v>
      </c>
      <c r="L496" s="250">
        <v>26.5</v>
      </c>
    </row>
    <row r="497" spans="1:12" ht="15.6" hidden="1" customHeight="1" outlineLevel="1" x14ac:dyDescent="0.25">
      <c r="A497" s="236"/>
      <c r="B497" s="239" t="s">
        <v>21</v>
      </c>
      <c r="C497" s="239" t="s">
        <v>126</v>
      </c>
      <c r="D497" s="236"/>
      <c r="E497" s="245" t="s">
        <v>32</v>
      </c>
      <c r="F497" s="256">
        <v>54982</v>
      </c>
      <c r="G497" s="257">
        <v>58087</v>
      </c>
      <c r="H497" s="258">
        <v>60865</v>
      </c>
      <c r="I497" s="259">
        <v>62247</v>
      </c>
      <c r="J497" s="258">
        <v>63740</v>
      </c>
      <c r="K497" s="257">
        <v>68741</v>
      </c>
      <c r="L497" s="256">
        <v>71207</v>
      </c>
    </row>
    <row r="498" spans="1:12" ht="15.6" hidden="1" customHeight="1" outlineLevel="1" x14ac:dyDescent="0.25">
      <c r="A498" s="236"/>
      <c r="B498" s="236"/>
      <c r="C498" s="236"/>
      <c r="D498" s="236"/>
      <c r="E498" s="236"/>
      <c r="F498" s="236"/>
      <c r="G498" s="236"/>
      <c r="H498" s="236"/>
      <c r="I498" s="236"/>
      <c r="J498" s="236"/>
      <c r="K498" s="236"/>
      <c r="L498" s="236"/>
    </row>
    <row r="499" spans="1:12" ht="15.75" collapsed="1" x14ac:dyDescent="0.25">
      <c r="A499" s="237">
        <v>96</v>
      </c>
      <c r="B499" s="239" t="s">
        <v>21</v>
      </c>
      <c r="C499" s="239" t="s">
        <v>127</v>
      </c>
      <c r="D499" s="236"/>
      <c r="E499" s="244" t="s">
        <v>222</v>
      </c>
      <c r="F499" s="236"/>
      <c r="G499" s="236"/>
      <c r="H499" s="236"/>
      <c r="I499" s="236"/>
      <c r="J499" s="236"/>
      <c r="K499" s="236"/>
      <c r="L499" s="236"/>
    </row>
    <row r="500" spans="1:12" ht="15.6" hidden="1" customHeight="1" outlineLevel="1" x14ac:dyDescent="0.25">
      <c r="A500" s="236"/>
      <c r="B500" s="239" t="s">
        <v>21</v>
      </c>
      <c r="C500" s="239" t="s">
        <v>127</v>
      </c>
      <c r="D500" s="236"/>
      <c r="E500" s="245" t="s">
        <v>88</v>
      </c>
      <c r="F500" s="246">
        <v>0.42799999999999999</v>
      </c>
      <c r="G500" s="247">
        <v>0.46200000000000002</v>
      </c>
      <c r="H500" s="248">
        <v>0.49299999999999999</v>
      </c>
      <c r="I500" s="249">
        <v>0.50900000000000001</v>
      </c>
      <c r="J500" s="248">
        <v>0.52500000000000002</v>
      </c>
      <c r="K500" s="247">
        <v>0.56700000000000006</v>
      </c>
      <c r="L500" s="246">
        <v>0.59699999999999998</v>
      </c>
    </row>
    <row r="501" spans="1:12" ht="15.6" hidden="1" customHeight="1" outlineLevel="1" x14ac:dyDescent="0.25">
      <c r="A501" s="236"/>
      <c r="B501" s="239" t="s">
        <v>21</v>
      </c>
      <c r="C501" s="239" t="s">
        <v>127</v>
      </c>
      <c r="D501" s="236"/>
      <c r="E501" s="245" t="s">
        <v>89</v>
      </c>
      <c r="F501" s="249"/>
      <c r="G501" s="249"/>
      <c r="H501" s="248">
        <v>1.3000000000000001E-2</v>
      </c>
      <c r="I501" s="249">
        <v>1.6E-2</v>
      </c>
      <c r="J501" s="248">
        <v>2.1999999999999999E-2</v>
      </c>
      <c r="K501" s="247">
        <v>3.6000000000000004E-2</v>
      </c>
      <c r="L501" s="246">
        <v>5.7000000000000002E-2</v>
      </c>
    </row>
    <row r="502" spans="1:12" ht="15.6" hidden="1" customHeight="1" outlineLevel="1" x14ac:dyDescent="0.25">
      <c r="A502" s="236"/>
      <c r="B502" s="239" t="s">
        <v>21</v>
      </c>
      <c r="C502" s="239" t="s">
        <v>127</v>
      </c>
      <c r="D502" s="236"/>
      <c r="E502" s="245" t="s">
        <v>90</v>
      </c>
      <c r="F502" s="249"/>
      <c r="G502" s="249"/>
      <c r="H502" s="248">
        <v>0.1</v>
      </c>
      <c r="I502" s="249">
        <v>0.113</v>
      </c>
      <c r="J502" s="248">
        <v>0.123</v>
      </c>
      <c r="K502" s="247">
        <v>0.15</v>
      </c>
      <c r="L502" s="246">
        <v>0.17500000000000002</v>
      </c>
    </row>
    <row r="503" spans="1:12" ht="15.6" hidden="1" customHeight="1" outlineLevel="1" x14ac:dyDescent="0.25">
      <c r="A503" s="236"/>
      <c r="B503" s="239" t="s">
        <v>21</v>
      </c>
      <c r="C503" s="239" t="s">
        <v>127</v>
      </c>
      <c r="D503" s="236"/>
      <c r="E503" s="245" t="s">
        <v>91</v>
      </c>
      <c r="F503" s="249"/>
      <c r="G503" s="249"/>
      <c r="H503" s="249"/>
      <c r="I503" s="249">
        <v>6.9000000000000006E-2</v>
      </c>
      <c r="J503" s="249"/>
      <c r="K503" s="247">
        <v>0.09</v>
      </c>
      <c r="L503" s="246">
        <v>0.11900000000000001</v>
      </c>
    </row>
    <row r="504" spans="1:12" ht="15.6" hidden="1" customHeight="1" outlineLevel="1" x14ac:dyDescent="0.25">
      <c r="A504" s="236"/>
      <c r="B504" s="239" t="s">
        <v>21</v>
      </c>
      <c r="C504" s="239" t="s">
        <v>127</v>
      </c>
      <c r="D504" s="236"/>
      <c r="E504" s="245" t="s">
        <v>92</v>
      </c>
      <c r="F504" s="249"/>
      <c r="G504" s="249"/>
      <c r="H504" s="249"/>
      <c r="I504" s="249">
        <v>1.8000000000000002E-2</v>
      </c>
      <c r="J504" s="249"/>
      <c r="K504" s="247">
        <v>3.6000000000000004E-2</v>
      </c>
      <c r="L504" s="246">
        <v>7.0000000000000007E-2</v>
      </c>
    </row>
    <row r="505" spans="1:12" ht="15.6" hidden="1" customHeight="1" outlineLevel="1" x14ac:dyDescent="0.25">
      <c r="A505" s="236"/>
      <c r="B505" s="239" t="s">
        <v>21</v>
      </c>
      <c r="C505" s="239" t="s">
        <v>127</v>
      </c>
      <c r="D505" s="236"/>
      <c r="E505" s="245" t="s">
        <v>93</v>
      </c>
      <c r="F505" s="249"/>
      <c r="G505" s="249"/>
      <c r="H505" s="249"/>
      <c r="I505" s="249">
        <v>0.06</v>
      </c>
      <c r="J505" s="249"/>
      <c r="K505" s="247">
        <v>8.6000000000000007E-2</v>
      </c>
      <c r="L505" s="246">
        <v>0.12</v>
      </c>
    </row>
    <row r="506" spans="1:12" ht="15.6" hidden="1" customHeight="1" outlineLevel="1" x14ac:dyDescent="0.25">
      <c r="A506" s="236"/>
      <c r="B506" s="239" t="s">
        <v>21</v>
      </c>
      <c r="C506" s="239" t="s">
        <v>127</v>
      </c>
      <c r="D506" s="236"/>
      <c r="E506" s="245" t="s">
        <v>94</v>
      </c>
      <c r="F506" s="246">
        <v>3.6000000000000004E-2</v>
      </c>
      <c r="G506" s="247">
        <v>4.3000000000000003E-2</v>
      </c>
      <c r="H506" s="248">
        <v>5.9000000000000004E-2</v>
      </c>
      <c r="I506" s="249">
        <v>6.4000000000000001E-2</v>
      </c>
      <c r="J506" s="248">
        <v>6.8000000000000005E-2</v>
      </c>
      <c r="K506" s="249"/>
      <c r="L506" s="249"/>
    </row>
    <row r="507" spans="1:12" ht="15.6" hidden="1" customHeight="1" outlineLevel="1" x14ac:dyDescent="0.25">
      <c r="A507" s="236"/>
      <c r="B507" s="239" t="s">
        <v>21</v>
      </c>
      <c r="C507" s="239" t="s">
        <v>127</v>
      </c>
      <c r="D507" s="236"/>
      <c r="E507" s="245" t="s">
        <v>95</v>
      </c>
      <c r="F507" s="249"/>
      <c r="G507" s="249"/>
      <c r="H507" s="249"/>
      <c r="I507" s="249">
        <v>1.7000000000000001E-2</v>
      </c>
      <c r="J507" s="249"/>
      <c r="K507" s="247">
        <v>2.3E-2</v>
      </c>
      <c r="L507" s="246">
        <v>2.8000000000000001E-2</v>
      </c>
    </row>
    <row r="508" spans="1:12" ht="15.6" hidden="1" customHeight="1" outlineLevel="1" x14ac:dyDescent="0.25">
      <c r="A508" s="236"/>
      <c r="B508" s="239" t="s">
        <v>21</v>
      </c>
      <c r="C508" s="239" t="s">
        <v>127</v>
      </c>
      <c r="D508" s="236"/>
      <c r="E508" s="245" t="s">
        <v>33</v>
      </c>
      <c r="F508" s="249"/>
      <c r="G508" s="249"/>
      <c r="H508" s="248">
        <v>6.2E-2</v>
      </c>
      <c r="I508" s="249">
        <v>6.9000000000000006E-2</v>
      </c>
      <c r="J508" s="248">
        <v>7.4999999999999997E-2</v>
      </c>
      <c r="K508" s="247">
        <v>9.8000000000000004E-2</v>
      </c>
      <c r="L508" s="246">
        <v>0.11900000000000001</v>
      </c>
    </row>
    <row r="509" spans="1:12" ht="15.6" hidden="1" customHeight="1" outlineLevel="1" x14ac:dyDescent="0.25">
      <c r="A509" s="236"/>
      <c r="B509" s="239" t="s">
        <v>21</v>
      </c>
      <c r="C509" s="239" t="s">
        <v>127</v>
      </c>
      <c r="D509" s="236"/>
      <c r="E509" s="245" t="s">
        <v>4</v>
      </c>
      <c r="F509" s="250">
        <v>13.51</v>
      </c>
      <c r="G509" s="251">
        <v>14.780000000000001</v>
      </c>
      <c r="H509" s="252">
        <v>16.25</v>
      </c>
      <c r="I509" s="253">
        <v>16.63</v>
      </c>
      <c r="J509" s="252">
        <v>17.330000000000002</v>
      </c>
      <c r="K509" s="251">
        <v>18.37</v>
      </c>
      <c r="L509" s="250">
        <v>19.670000000000002</v>
      </c>
    </row>
    <row r="510" spans="1:12" ht="15.6" hidden="1" customHeight="1" outlineLevel="1" x14ac:dyDescent="0.25">
      <c r="A510" s="236"/>
      <c r="B510" s="239" t="s">
        <v>21</v>
      </c>
      <c r="C510" s="239" t="s">
        <v>127</v>
      </c>
      <c r="D510" s="236"/>
      <c r="E510" s="245" t="s">
        <v>14</v>
      </c>
      <c r="F510" s="250">
        <v>6.97</v>
      </c>
      <c r="G510" s="251">
        <v>7.65</v>
      </c>
      <c r="H510" s="252">
        <v>8.69</v>
      </c>
      <c r="I510" s="253">
        <v>9.11</v>
      </c>
      <c r="J510" s="252">
        <v>9.5500000000000007</v>
      </c>
      <c r="K510" s="251">
        <v>10.39</v>
      </c>
      <c r="L510" s="250">
        <v>11.03</v>
      </c>
    </row>
    <row r="511" spans="1:12" ht="15.6" hidden="1" customHeight="1" outlineLevel="1" x14ac:dyDescent="0.25">
      <c r="A511" s="236"/>
      <c r="B511" s="239" t="s">
        <v>21</v>
      </c>
      <c r="C511" s="239" t="s">
        <v>127</v>
      </c>
      <c r="D511" s="236"/>
      <c r="E511" s="245" t="s">
        <v>0</v>
      </c>
      <c r="F511" s="250">
        <v>19.93</v>
      </c>
      <c r="G511" s="251">
        <v>21</v>
      </c>
      <c r="H511" s="252">
        <v>22.5</v>
      </c>
      <c r="I511" s="253">
        <v>23.1</v>
      </c>
      <c r="J511" s="252">
        <v>23.6</v>
      </c>
      <c r="K511" s="251">
        <v>25.5</v>
      </c>
      <c r="L511" s="250">
        <v>26.07</v>
      </c>
    </row>
    <row r="512" spans="1:12" ht="15.6" hidden="1" customHeight="1" outlineLevel="1" x14ac:dyDescent="0.25">
      <c r="A512" s="236"/>
      <c r="B512" s="239" t="s">
        <v>21</v>
      </c>
      <c r="C512" s="239" t="s">
        <v>127</v>
      </c>
      <c r="D512" s="236"/>
      <c r="E512" s="245" t="s">
        <v>32</v>
      </c>
      <c r="F512" s="256">
        <v>43165</v>
      </c>
      <c r="G512" s="257">
        <v>49369</v>
      </c>
      <c r="H512" s="258">
        <v>54641</v>
      </c>
      <c r="I512" s="259">
        <v>55560</v>
      </c>
      <c r="J512" s="258">
        <v>56456</v>
      </c>
      <c r="K512" s="257">
        <v>59036</v>
      </c>
      <c r="L512" s="256">
        <v>62649</v>
      </c>
    </row>
    <row r="513" spans="1:12" ht="15.6" hidden="1" customHeight="1" outlineLevel="1" x14ac:dyDescent="0.25">
      <c r="A513" s="236"/>
      <c r="B513" s="236"/>
      <c r="C513" s="236"/>
      <c r="D513" s="236"/>
      <c r="E513" s="236"/>
      <c r="F513" s="236"/>
      <c r="G513" s="236"/>
      <c r="H513" s="236"/>
      <c r="I513" s="236"/>
      <c r="J513" s="236"/>
      <c r="K513" s="236"/>
      <c r="L513" s="236"/>
    </row>
    <row r="514" spans="1:12" ht="15.75" collapsed="1" x14ac:dyDescent="0.25">
      <c r="A514" s="237">
        <v>78</v>
      </c>
      <c r="B514" s="239" t="s">
        <v>128</v>
      </c>
      <c r="C514" s="239" t="s">
        <v>126</v>
      </c>
      <c r="D514" s="236"/>
      <c r="E514" s="244" t="s">
        <v>223</v>
      </c>
      <c r="F514" s="236"/>
      <c r="G514" s="236"/>
      <c r="H514" s="236"/>
      <c r="I514" s="236"/>
      <c r="J514" s="236"/>
      <c r="K514" s="236"/>
      <c r="L514" s="236"/>
    </row>
    <row r="515" spans="1:12" ht="15.6" hidden="1" customHeight="1" outlineLevel="1" x14ac:dyDescent="0.25">
      <c r="A515" s="236"/>
      <c r="B515" s="239" t="s">
        <v>128</v>
      </c>
      <c r="C515" s="239" t="s">
        <v>126</v>
      </c>
      <c r="D515" s="236"/>
      <c r="E515" s="245" t="s">
        <v>88</v>
      </c>
      <c r="F515" s="246">
        <v>0.158</v>
      </c>
      <c r="G515" s="247">
        <v>0.17599999999999999</v>
      </c>
      <c r="H515" s="248">
        <v>0.218</v>
      </c>
      <c r="I515" s="249">
        <v>0.25</v>
      </c>
      <c r="J515" s="248">
        <v>0.26500000000000001</v>
      </c>
      <c r="K515" s="247">
        <v>0.312</v>
      </c>
      <c r="L515" s="246">
        <v>0.36799999999999999</v>
      </c>
    </row>
    <row r="516" spans="1:12" ht="15.6" hidden="1" customHeight="1" outlineLevel="1" x14ac:dyDescent="0.25">
      <c r="A516" s="236"/>
      <c r="B516" s="239" t="s">
        <v>128</v>
      </c>
      <c r="C516" s="239" t="s">
        <v>126</v>
      </c>
      <c r="D516" s="236"/>
      <c r="E516" s="245" t="s">
        <v>89</v>
      </c>
      <c r="F516" s="249"/>
      <c r="G516" s="249"/>
      <c r="H516" s="248">
        <v>7.0000000000000001E-3</v>
      </c>
      <c r="I516" s="249">
        <v>1.0999999999999999E-2</v>
      </c>
      <c r="J516" s="248">
        <v>1.4999999999999999E-2</v>
      </c>
      <c r="K516" s="247">
        <v>3.1E-2</v>
      </c>
      <c r="L516" s="246">
        <v>4.3999999999999997E-2</v>
      </c>
    </row>
    <row r="517" spans="1:12" ht="15.6" hidden="1" customHeight="1" outlineLevel="1" x14ac:dyDescent="0.25">
      <c r="A517" s="236"/>
      <c r="B517" s="239" t="s">
        <v>128</v>
      </c>
      <c r="C517" s="239" t="s">
        <v>126</v>
      </c>
      <c r="D517" s="236"/>
      <c r="E517" s="245" t="s">
        <v>90</v>
      </c>
      <c r="F517" s="249"/>
      <c r="G517" s="249"/>
      <c r="H517" s="248">
        <v>0.29299999999999998</v>
      </c>
      <c r="I517" s="249">
        <v>0.32200000000000001</v>
      </c>
      <c r="J517" s="248">
        <v>0.36799999999999999</v>
      </c>
      <c r="K517" s="247">
        <v>0.45100000000000001</v>
      </c>
      <c r="L517" s="246">
        <v>0.5</v>
      </c>
    </row>
    <row r="518" spans="1:12" ht="15.6" hidden="1" customHeight="1" outlineLevel="1" x14ac:dyDescent="0.25">
      <c r="A518" s="236"/>
      <c r="B518" s="239" t="s">
        <v>128</v>
      </c>
      <c r="C518" s="239" t="s">
        <v>126</v>
      </c>
      <c r="D518" s="236"/>
      <c r="E518" s="245" t="s">
        <v>91</v>
      </c>
      <c r="F518" s="249"/>
      <c r="G518" s="249"/>
      <c r="H518" s="249"/>
      <c r="I518" s="249">
        <v>1.9E-2</v>
      </c>
      <c r="J518" s="249"/>
      <c r="K518" s="247">
        <v>3.5000000000000003E-2</v>
      </c>
      <c r="L518" s="246">
        <v>0.05</v>
      </c>
    </row>
    <row r="519" spans="1:12" ht="15.6" hidden="1" customHeight="1" outlineLevel="1" x14ac:dyDescent="0.25">
      <c r="A519" s="236"/>
      <c r="B519" s="239" t="s">
        <v>128</v>
      </c>
      <c r="C519" s="239" t="s">
        <v>126</v>
      </c>
      <c r="D519" s="236"/>
      <c r="E519" s="245" t="s">
        <v>92</v>
      </c>
      <c r="F519" s="249"/>
      <c r="G519" s="249"/>
      <c r="H519" s="249"/>
      <c r="I519" s="249">
        <v>2.9000000000000001E-2</v>
      </c>
      <c r="J519" s="249"/>
      <c r="K519" s="247">
        <v>5.3999999999999999E-2</v>
      </c>
      <c r="L519" s="246">
        <v>7.8E-2</v>
      </c>
    </row>
    <row r="520" spans="1:12" ht="15.6" hidden="1" customHeight="1" outlineLevel="1" x14ac:dyDescent="0.25">
      <c r="A520" s="236"/>
      <c r="B520" s="239" t="s">
        <v>128</v>
      </c>
      <c r="C520" s="239" t="s">
        <v>126</v>
      </c>
      <c r="D520" s="236"/>
      <c r="E520" s="245" t="s">
        <v>93</v>
      </c>
      <c r="F520" s="249"/>
      <c r="G520" s="249"/>
      <c r="H520" s="249"/>
      <c r="I520" s="249">
        <v>0.1</v>
      </c>
      <c r="J520" s="249"/>
      <c r="K520" s="247">
        <v>0.13700000000000001</v>
      </c>
      <c r="L520" s="246">
        <v>0.153</v>
      </c>
    </row>
    <row r="521" spans="1:12" ht="15.6" hidden="1" customHeight="1" outlineLevel="1" x14ac:dyDescent="0.25">
      <c r="A521" s="236"/>
      <c r="B521" s="239" t="s">
        <v>128</v>
      </c>
      <c r="C521" s="239" t="s">
        <v>126</v>
      </c>
      <c r="D521" s="236"/>
      <c r="E521" s="245" t="s">
        <v>94</v>
      </c>
      <c r="F521" s="246">
        <v>9.0000000000000011E-3</v>
      </c>
      <c r="G521" s="247">
        <v>1.2E-2</v>
      </c>
      <c r="H521" s="248">
        <v>1.4999999999999999E-2</v>
      </c>
      <c r="I521" s="249">
        <v>1.7000000000000001E-2</v>
      </c>
      <c r="J521" s="248">
        <v>1.9E-2</v>
      </c>
      <c r="K521" s="249"/>
      <c r="L521" s="249"/>
    </row>
    <row r="522" spans="1:12" ht="15.6" hidden="1" customHeight="1" outlineLevel="1" x14ac:dyDescent="0.25">
      <c r="A522" s="236"/>
      <c r="B522" s="239" t="s">
        <v>128</v>
      </c>
      <c r="C522" s="239" t="s">
        <v>126</v>
      </c>
      <c r="D522" s="236"/>
      <c r="E522" s="245" t="s">
        <v>95</v>
      </c>
      <c r="F522" s="249"/>
      <c r="G522" s="249"/>
      <c r="H522" s="249"/>
      <c r="I522" s="249">
        <v>7.0000000000000001E-3</v>
      </c>
      <c r="J522" s="249"/>
      <c r="K522" s="247">
        <v>1.0999999999999999E-2</v>
      </c>
      <c r="L522" s="246">
        <v>1.2E-2</v>
      </c>
    </row>
    <row r="523" spans="1:12" ht="15.6" hidden="1" customHeight="1" outlineLevel="1" x14ac:dyDescent="0.25">
      <c r="A523" s="236"/>
      <c r="B523" s="239" t="s">
        <v>128</v>
      </c>
      <c r="C523" s="239" t="s">
        <v>126</v>
      </c>
      <c r="D523" s="236"/>
      <c r="E523" s="245" t="s">
        <v>33</v>
      </c>
      <c r="F523" s="249"/>
      <c r="G523" s="249"/>
      <c r="H523" s="248">
        <v>7.9000000000000001E-2</v>
      </c>
      <c r="I523" s="249">
        <v>8.7999999999999995E-2</v>
      </c>
      <c r="J523" s="248">
        <v>9.4E-2</v>
      </c>
      <c r="K523" s="247">
        <v>0.13</v>
      </c>
      <c r="L523" s="246">
        <v>0.14899999999999999</v>
      </c>
    </row>
    <row r="524" spans="1:12" ht="15.6" hidden="1" customHeight="1" outlineLevel="1" x14ac:dyDescent="0.25">
      <c r="A524" s="236"/>
      <c r="B524" s="239" t="s">
        <v>128</v>
      </c>
      <c r="C524" s="239" t="s">
        <v>126</v>
      </c>
      <c r="D524" s="236"/>
      <c r="E524" s="245" t="s">
        <v>4</v>
      </c>
      <c r="F524" s="250">
        <v>13</v>
      </c>
      <c r="G524" s="251">
        <v>16.3</v>
      </c>
      <c r="H524" s="252">
        <v>19.200000000000003</v>
      </c>
      <c r="I524" s="253">
        <v>20.100000000000001</v>
      </c>
      <c r="J524" s="252">
        <v>21.200000000000003</v>
      </c>
      <c r="K524" s="251">
        <v>25.1</v>
      </c>
      <c r="L524" s="250">
        <v>32.800000000000004</v>
      </c>
    </row>
    <row r="525" spans="1:12" ht="15.6" hidden="1" customHeight="1" outlineLevel="1" x14ac:dyDescent="0.25">
      <c r="A525" s="236"/>
      <c r="B525" s="239" t="s">
        <v>128</v>
      </c>
      <c r="C525" s="239" t="s">
        <v>126</v>
      </c>
      <c r="D525" s="236"/>
      <c r="E525" s="245" t="s">
        <v>14</v>
      </c>
      <c r="F525" s="250">
        <v>2.8000000000000003</v>
      </c>
      <c r="G525" s="251">
        <v>3.4000000000000004</v>
      </c>
      <c r="H525" s="252">
        <v>3.9000000000000004</v>
      </c>
      <c r="I525" s="253">
        <v>4</v>
      </c>
      <c r="J525" s="252">
        <v>4.2</v>
      </c>
      <c r="K525" s="251">
        <v>5.2</v>
      </c>
      <c r="L525" s="250">
        <v>5.7</v>
      </c>
    </row>
    <row r="526" spans="1:12" ht="15.6" hidden="1" customHeight="1" outlineLevel="1" x14ac:dyDescent="0.25">
      <c r="A526" s="236"/>
      <c r="B526" s="239" t="s">
        <v>128</v>
      </c>
      <c r="C526" s="239" t="s">
        <v>126</v>
      </c>
      <c r="D526" s="236"/>
      <c r="E526" s="245" t="s">
        <v>32</v>
      </c>
      <c r="F526" s="256">
        <v>50239</v>
      </c>
      <c r="G526" s="257">
        <v>54301</v>
      </c>
      <c r="H526" s="258">
        <v>62886</v>
      </c>
      <c r="I526" s="259">
        <v>64882</v>
      </c>
      <c r="J526" s="258">
        <v>68001</v>
      </c>
      <c r="K526" s="257">
        <v>75089</v>
      </c>
      <c r="L526" s="256">
        <v>86095</v>
      </c>
    </row>
    <row r="527" spans="1:12" ht="15.6" hidden="1" customHeight="1" outlineLevel="1" x14ac:dyDescent="0.25">
      <c r="A527" s="236"/>
      <c r="B527" s="236"/>
      <c r="C527" s="236"/>
      <c r="D527" s="236"/>
      <c r="E527" s="236"/>
      <c r="F527" s="236"/>
      <c r="G527" s="236"/>
      <c r="H527" s="236"/>
      <c r="I527" s="236"/>
      <c r="J527" s="236"/>
      <c r="K527" s="236"/>
      <c r="L527" s="236"/>
    </row>
    <row r="528" spans="1:12" ht="15.75" collapsed="1" x14ac:dyDescent="0.25">
      <c r="A528" s="237">
        <v>315</v>
      </c>
      <c r="B528" s="239" t="s">
        <v>128</v>
      </c>
      <c r="C528" s="239" t="s">
        <v>127</v>
      </c>
      <c r="D528" s="236"/>
      <c r="E528" s="244" t="s">
        <v>224</v>
      </c>
      <c r="F528" s="236"/>
      <c r="G528" s="236"/>
      <c r="H528" s="236"/>
      <c r="I528" s="236"/>
      <c r="J528" s="236"/>
      <c r="K528" s="236"/>
      <c r="L528" s="236"/>
    </row>
    <row r="529" spans="1:14" ht="15.6" hidden="1" customHeight="1" outlineLevel="1" x14ac:dyDescent="0.25">
      <c r="A529" s="236"/>
      <c r="B529" s="239" t="s">
        <v>128</v>
      </c>
      <c r="C529" s="239" t="s">
        <v>127</v>
      </c>
      <c r="D529" s="236"/>
      <c r="E529" s="245" t="s">
        <v>88</v>
      </c>
      <c r="F529" s="246">
        <v>0.17300000000000001</v>
      </c>
      <c r="G529" s="247">
        <v>0.2</v>
      </c>
      <c r="H529" s="248">
        <v>0.252</v>
      </c>
      <c r="I529" s="249">
        <v>0.27500000000000002</v>
      </c>
      <c r="J529" s="248">
        <v>0.29899999999999999</v>
      </c>
      <c r="K529" s="247">
        <v>0.35299999999999998</v>
      </c>
      <c r="L529" s="246">
        <v>0.38400000000000001</v>
      </c>
      <c r="M529" s="236"/>
      <c r="N529" s="236"/>
    </row>
    <row r="530" spans="1:14" ht="15.6" hidden="1" customHeight="1" outlineLevel="1" x14ac:dyDescent="0.25">
      <c r="A530" s="236"/>
      <c r="B530" s="239" t="s">
        <v>128</v>
      </c>
      <c r="C530" s="239" t="s">
        <v>127</v>
      </c>
      <c r="D530" s="236"/>
      <c r="E530" s="245" t="s">
        <v>89</v>
      </c>
      <c r="F530" s="249"/>
      <c r="G530" s="249"/>
      <c r="H530" s="248">
        <v>6.0000000000000001E-3</v>
      </c>
      <c r="I530" s="249">
        <v>9.0000000000000011E-3</v>
      </c>
      <c r="J530" s="248">
        <v>1.3000000000000001E-2</v>
      </c>
      <c r="K530" s="247">
        <v>2.8000000000000001E-2</v>
      </c>
      <c r="L530" s="246">
        <v>4.2000000000000003E-2</v>
      </c>
      <c r="M530" s="236"/>
      <c r="N530" s="236"/>
    </row>
    <row r="531" spans="1:14" ht="15.6" hidden="1" customHeight="1" outlineLevel="1" x14ac:dyDescent="0.25">
      <c r="A531" s="236"/>
      <c r="B531" s="239" t="s">
        <v>128</v>
      </c>
      <c r="C531" s="239" t="s">
        <v>127</v>
      </c>
      <c r="D531" s="236"/>
      <c r="E531" s="245" t="s">
        <v>90</v>
      </c>
      <c r="F531" s="249"/>
      <c r="G531" s="249"/>
      <c r="H531" s="248">
        <v>0.316</v>
      </c>
      <c r="I531" s="249">
        <v>0.35299999999999998</v>
      </c>
      <c r="J531" s="248">
        <v>0.38300000000000001</v>
      </c>
      <c r="K531" s="247">
        <v>0.439</v>
      </c>
      <c r="L531" s="246">
        <v>0.48699999999999999</v>
      </c>
      <c r="M531" s="236"/>
      <c r="N531" s="236"/>
    </row>
    <row r="532" spans="1:14" ht="15.6" hidden="1" customHeight="1" outlineLevel="1" x14ac:dyDescent="0.25">
      <c r="A532" s="236"/>
      <c r="B532" s="239" t="s">
        <v>128</v>
      </c>
      <c r="C532" s="239" t="s">
        <v>127</v>
      </c>
      <c r="D532" s="236"/>
      <c r="E532" s="245" t="s">
        <v>91</v>
      </c>
      <c r="F532" s="249"/>
      <c r="G532" s="249"/>
      <c r="H532" s="249"/>
      <c r="I532" s="249">
        <v>2.1000000000000001E-2</v>
      </c>
      <c r="J532" s="249"/>
      <c r="K532" s="247">
        <v>3.6999999999999998E-2</v>
      </c>
      <c r="L532" s="246">
        <v>4.7E-2</v>
      </c>
      <c r="M532" s="236"/>
      <c r="N532" s="236"/>
    </row>
    <row r="533" spans="1:14" ht="15.6" hidden="1" customHeight="1" outlineLevel="1" x14ac:dyDescent="0.25">
      <c r="A533" s="236"/>
      <c r="B533" s="239" t="s">
        <v>128</v>
      </c>
      <c r="C533" s="239" t="s">
        <v>127</v>
      </c>
      <c r="D533" s="236"/>
      <c r="E533" s="245" t="s">
        <v>92</v>
      </c>
      <c r="F533" s="249"/>
      <c r="G533" s="249"/>
      <c r="H533" s="249"/>
      <c r="I533" s="249">
        <v>3.1E-2</v>
      </c>
      <c r="J533" s="249"/>
      <c r="K533" s="247">
        <v>5.8000000000000003E-2</v>
      </c>
      <c r="L533" s="246">
        <v>8.8999999999999996E-2</v>
      </c>
      <c r="M533" s="236"/>
      <c r="N533" s="236"/>
    </row>
    <row r="534" spans="1:14" ht="15.6" hidden="1" customHeight="1" outlineLevel="1" x14ac:dyDescent="0.25">
      <c r="A534" s="236"/>
      <c r="B534" s="239" t="s">
        <v>128</v>
      </c>
      <c r="C534" s="239" t="s">
        <v>127</v>
      </c>
      <c r="D534" s="236"/>
      <c r="E534" s="245" t="s">
        <v>93</v>
      </c>
      <c r="F534" s="249"/>
      <c r="G534" s="249"/>
      <c r="H534" s="249"/>
      <c r="I534" s="249">
        <v>0.10300000000000001</v>
      </c>
      <c r="J534" s="249"/>
      <c r="K534" s="247">
        <v>0.13900000000000001</v>
      </c>
      <c r="L534" s="246">
        <v>0.16600000000000001</v>
      </c>
      <c r="M534" s="236"/>
      <c r="N534" s="236"/>
    </row>
    <row r="535" spans="1:14" ht="15.6" hidden="1" customHeight="1" outlineLevel="1" x14ac:dyDescent="0.25">
      <c r="A535" s="236"/>
      <c r="B535" s="239" t="s">
        <v>128</v>
      </c>
      <c r="C535" s="239" t="s">
        <v>127</v>
      </c>
      <c r="D535" s="236"/>
      <c r="E535" s="245" t="s">
        <v>94</v>
      </c>
      <c r="F535" s="246">
        <v>9.0000000000000011E-3</v>
      </c>
      <c r="G535" s="247">
        <v>1.3000000000000001E-2</v>
      </c>
      <c r="H535" s="248">
        <v>0.02</v>
      </c>
      <c r="I535" s="249">
        <v>2.3E-2</v>
      </c>
      <c r="J535" s="248">
        <v>2.6000000000000002E-2</v>
      </c>
      <c r="K535" s="249"/>
      <c r="L535" s="249"/>
      <c r="M535" s="236"/>
      <c r="N535" s="236"/>
    </row>
    <row r="536" spans="1:14" ht="15.6" hidden="1" customHeight="1" outlineLevel="1" x14ac:dyDescent="0.25">
      <c r="A536" s="236"/>
      <c r="B536" s="239" t="s">
        <v>128</v>
      </c>
      <c r="C536" s="239" t="s">
        <v>127</v>
      </c>
      <c r="D536" s="236"/>
      <c r="E536" s="245" t="s">
        <v>95</v>
      </c>
      <c r="F536" s="249"/>
      <c r="G536" s="249"/>
      <c r="H536" s="249"/>
      <c r="I536" s="249">
        <v>1.0999999999999999E-2</v>
      </c>
      <c r="J536" s="249"/>
      <c r="K536" s="247">
        <v>1.4999999999999999E-2</v>
      </c>
      <c r="L536" s="246">
        <v>1.8000000000000002E-2</v>
      </c>
      <c r="M536" s="236"/>
      <c r="N536" s="236"/>
    </row>
    <row r="537" spans="1:14" ht="15.6" hidden="1" customHeight="1" outlineLevel="1" x14ac:dyDescent="0.25">
      <c r="A537" s="236"/>
      <c r="B537" s="239" t="s">
        <v>128</v>
      </c>
      <c r="C537" s="239" t="s">
        <v>127</v>
      </c>
      <c r="D537" s="236"/>
      <c r="E537" s="245" t="s">
        <v>33</v>
      </c>
      <c r="F537" s="249"/>
      <c r="G537" s="249"/>
      <c r="H537" s="248">
        <v>8.3000000000000004E-2</v>
      </c>
      <c r="I537" s="249">
        <v>9.6000000000000002E-2</v>
      </c>
      <c r="J537" s="248">
        <v>0.108</v>
      </c>
      <c r="K537" s="247">
        <v>0.13900000000000001</v>
      </c>
      <c r="L537" s="246">
        <v>0.16900000000000001</v>
      </c>
      <c r="M537" s="236"/>
      <c r="N537" s="236"/>
    </row>
    <row r="538" spans="1:14" ht="15.6" hidden="1" customHeight="1" outlineLevel="1" x14ac:dyDescent="0.25">
      <c r="A538" s="236"/>
      <c r="B538" s="239" t="s">
        <v>128</v>
      </c>
      <c r="C538" s="239" t="s">
        <v>127</v>
      </c>
      <c r="D538" s="236"/>
      <c r="E538" s="245" t="s">
        <v>4</v>
      </c>
      <c r="F538" s="250">
        <v>15.100000000000001</v>
      </c>
      <c r="G538" s="251">
        <v>17.3</v>
      </c>
      <c r="H538" s="252">
        <v>20.900000000000002</v>
      </c>
      <c r="I538" s="253">
        <v>22.900000000000002</v>
      </c>
      <c r="J538" s="252">
        <v>25.200000000000003</v>
      </c>
      <c r="K538" s="251">
        <v>34.5</v>
      </c>
      <c r="L538" s="250">
        <v>43.5</v>
      </c>
      <c r="M538" s="236"/>
      <c r="N538" s="236"/>
    </row>
    <row r="539" spans="1:14" ht="15.6" hidden="1" customHeight="1" outlineLevel="1" x14ac:dyDescent="0.25">
      <c r="A539" s="236"/>
      <c r="B539" s="239" t="s">
        <v>128</v>
      </c>
      <c r="C539" s="239" t="s">
        <v>127</v>
      </c>
      <c r="D539" s="236"/>
      <c r="E539" s="245" t="s">
        <v>14</v>
      </c>
      <c r="F539" s="250">
        <v>3.5</v>
      </c>
      <c r="G539" s="251">
        <v>3.9000000000000004</v>
      </c>
      <c r="H539" s="252">
        <v>4.6000000000000005</v>
      </c>
      <c r="I539" s="253">
        <v>4.9000000000000004</v>
      </c>
      <c r="J539" s="252">
        <v>5.2</v>
      </c>
      <c r="K539" s="251">
        <v>6.2</v>
      </c>
      <c r="L539" s="250">
        <v>7.2</v>
      </c>
      <c r="M539" s="236"/>
      <c r="N539" s="236"/>
    </row>
    <row r="540" spans="1:14" ht="15.6" hidden="1" customHeight="1" outlineLevel="1" x14ac:dyDescent="0.25">
      <c r="A540" s="236"/>
      <c r="B540" s="239" t="s">
        <v>128</v>
      </c>
      <c r="C540" s="239" t="s">
        <v>127</v>
      </c>
      <c r="D540" s="236"/>
      <c r="E540" s="245" t="s">
        <v>32</v>
      </c>
      <c r="F540" s="256">
        <v>45220</v>
      </c>
      <c r="G540" s="257">
        <v>49382</v>
      </c>
      <c r="H540" s="258">
        <v>55633</v>
      </c>
      <c r="I540" s="259">
        <v>58640</v>
      </c>
      <c r="J540" s="258">
        <v>60718</v>
      </c>
      <c r="K540" s="257">
        <v>66276</v>
      </c>
      <c r="L540" s="256">
        <v>77089</v>
      </c>
      <c r="M540" s="236"/>
      <c r="N540" s="236"/>
    </row>
    <row r="541" spans="1:14" ht="15.75" collapsed="1" x14ac:dyDescent="0.25">
      <c r="A541" s="236"/>
      <c r="B541" s="236"/>
      <c r="C541" s="236"/>
      <c r="D541" s="236"/>
      <c r="E541" s="236"/>
      <c r="F541" s="236"/>
      <c r="G541" s="236"/>
      <c r="H541" s="236"/>
      <c r="I541" s="236"/>
      <c r="J541" s="236"/>
      <c r="K541" s="236"/>
      <c r="L541" s="236"/>
      <c r="M541" s="236"/>
      <c r="N541" s="236"/>
    </row>
    <row r="542" spans="1:14" s="235" customFormat="1" ht="62.1" customHeight="1" x14ac:dyDescent="0.25">
      <c r="A542" s="241" t="s">
        <v>129</v>
      </c>
      <c r="B542" s="241" t="s">
        <v>15</v>
      </c>
      <c r="C542" s="241" t="s">
        <v>130</v>
      </c>
      <c r="D542" s="400" t="s">
        <v>140</v>
      </c>
      <c r="E542" s="400"/>
      <c r="F542" s="243" t="s">
        <v>132</v>
      </c>
      <c r="G542" s="243" t="s">
        <v>133</v>
      </c>
      <c r="H542" s="243" t="s">
        <v>134</v>
      </c>
      <c r="I542" s="243" t="s">
        <v>139</v>
      </c>
      <c r="J542" s="243" t="s">
        <v>138</v>
      </c>
      <c r="K542" s="243" t="s">
        <v>135</v>
      </c>
      <c r="L542" s="243" t="s">
        <v>136</v>
      </c>
      <c r="M542" s="242"/>
      <c r="N542" s="242" t="s">
        <v>137</v>
      </c>
    </row>
    <row r="543" spans="1:14" ht="15.75" x14ac:dyDescent="0.25">
      <c r="A543" s="254">
        <v>1721</v>
      </c>
      <c r="B543" s="239" t="s">
        <v>20</v>
      </c>
      <c r="C543" s="239" t="s">
        <v>126</v>
      </c>
      <c r="D543" s="254"/>
      <c r="E543" s="244" t="s">
        <v>225</v>
      </c>
      <c r="F543" s="236"/>
      <c r="G543" s="236"/>
      <c r="H543" s="236"/>
      <c r="I543" s="236"/>
      <c r="J543" s="236"/>
      <c r="K543" s="236"/>
      <c r="L543" s="236"/>
      <c r="M543" s="236"/>
      <c r="N543" s="255"/>
    </row>
    <row r="544" spans="1:14" ht="15.6" hidden="1" customHeight="1" outlineLevel="1" x14ac:dyDescent="0.25">
      <c r="A544" s="236"/>
      <c r="B544" s="239" t="s">
        <v>20</v>
      </c>
      <c r="C544" s="239" t="s">
        <v>126</v>
      </c>
      <c r="D544" s="236"/>
      <c r="E544" s="245" t="s">
        <v>32</v>
      </c>
      <c r="F544" s="256">
        <v>47434</v>
      </c>
      <c r="G544" s="257">
        <v>50498</v>
      </c>
      <c r="H544" s="258">
        <v>54098</v>
      </c>
      <c r="I544" s="259">
        <v>55712</v>
      </c>
      <c r="J544" s="258">
        <v>57270</v>
      </c>
      <c r="K544" s="257">
        <v>61701</v>
      </c>
      <c r="L544" s="256">
        <v>66594</v>
      </c>
      <c r="M544" s="236"/>
      <c r="N544" s="236"/>
    </row>
    <row r="545" spans="1:12" ht="15.6" hidden="1" customHeight="1" outlineLevel="1" x14ac:dyDescent="0.25">
      <c r="A545" s="236"/>
      <c r="B545" s="236"/>
      <c r="C545" s="236"/>
      <c r="D545" s="236"/>
      <c r="E545" s="236"/>
      <c r="F545" s="236"/>
      <c r="G545" s="236"/>
      <c r="H545" s="236"/>
      <c r="I545" s="236"/>
      <c r="J545" s="236"/>
      <c r="K545" s="236"/>
      <c r="L545" s="236"/>
    </row>
    <row r="546" spans="1:12" ht="15.75" collapsed="1" x14ac:dyDescent="0.25">
      <c r="A546" s="254">
        <v>13651</v>
      </c>
      <c r="B546" s="239" t="s">
        <v>20</v>
      </c>
      <c r="C546" s="239" t="s">
        <v>127</v>
      </c>
      <c r="D546" s="254"/>
      <c r="E546" s="244" t="s">
        <v>226</v>
      </c>
      <c r="F546" s="236"/>
      <c r="G546" s="236"/>
      <c r="H546" s="236"/>
      <c r="I546" s="236"/>
      <c r="J546" s="236"/>
      <c r="K546" s="236"/>
      <c r="L546" s="236"/>
    </row>
    <row r="547" spans="1:12" ht="15.6" hidden="1" customHeight="1" outlineLevel="1" x14ac:dyDescent="0.25">
      <c r="A547" s="236"/>
      <c r="B547" s="239" t="s">
        <v>20</v>
      </c>
      <c r="C547" s="239" t="s">
        <v>127</v>
      </c>
      <c r="D547" s="236"/>
      <c r="E547" s="245" t="s">
        <v>32</v>
      </c>
      <c r="F547" s="256">
        <v>42766</v>
      </c>
      <c r="G547" s="257">
        <v>45507</v>
      </c>
      <c r="H547" s="258">
        <v>48721</v>
      </c>
      <c r="I547" s="259">
        <v>50049</v>
      </c>
      <c r="J547" s="258">
        <v>51461</v>
      </c>
      <c r="K547" s="257">
        <v>54822</v>
      </c>
      <c r="L547" s="256">
        <v>58243</v>
      </c>
    </row>
    <row r="548" spans="1:12" ht="14.1" hidden="1" customHeight="1" outlineLevel="1" x14ac:dyDescent="0.25">
      <c r="A548" s="236"/>
      <c r="B548" s="236"/>
      <c r="C548" s="236"/>
      <c r="D548" s="236"/>
      <c r="E548" s="236"/>
      <c r="F548" s="236"/>
      <c r="G548" s="236"/>
      <c r="H548" s="236"/>
      <c r="I548" s="236"/>
      <c r="J548" s="236"/>
      <c r="K548" s="236"/>
      <c r="L548" s="236"/>
    </row>
    <row r="549" spans="1:12" ht="14.85" customHeight="1" collapsed="1" x14ac:dyDescent="0.25">
      <c r="A549" s="237">
        <v>328</v>
      </c>
      <c r="B549" s="239" t="s">
        <v>114</v>
      </c>
      <c r="C549" s="239" t="s">
        <v>126</v>
      </c>
      <c r="D549" s="239"/>
      <c r="E549" s="244" t="s">
        <v>230</v>
      </c>
      <c r="F549" s="236"/>
      <c r="G549" s="236"/>
      <c r="H549" s="236"/>
      <c r="I549" s="236"/>
      <c r="J549" s="236"/>
      <c r="K549" s="236"/>
      <c r="L549" s="236"/>
    </row>
    <row r="550" spans="1:12" ht="15.6" hidden="1" customHeight="1" outlineLevel="1" x14ac:dyDescent="0.25">
      <c r="A550" s="236"/>
      <c r="B550" s="239" t="s">
        <v>114</v>
      </c>
      <c r="C550" s="239" t="s">
        <v>126</v>
      </c>
      <c r="D550" s="239"/>
      <c r="E550" s="245" t="s">
        <v>32</v>
      </c>
      <c r="F550" s="256">
        <v>53295</v>
      </c>
      <c r="G550" s="257">
        <v>56377</v>
      </c>
      <c r="H550" s="258">
        <v>59804</v>
      </c>
      <c r="I550" s="259">
        <v>61085</v>
      </c>
      <c r="J550" s="258">
        <v>63076</v>
      </c>
      <c r="K550" s="257">
        <v>67341</v>
      </c>
      <c r="L550" s="256">
        <v>71404</v>
      </c>
    </row>
    <row r="551" spans="1:12" ht="15.6" hidden="1" customHeight="1" outlineLevel="1" x14ac:dyDescent="0.25">
      <c r="A551" s="236"/>
      <c r="B551" s="236"/>
      <c r="C551" s="236"/>
      <c r="D551" s="236"/>
      <c r="E551" s="236"/>
      <c r="F551" s="236"/>
      <c r="G551" s="236"/>
      <c r="H551" s="236"/>
      <c r="I551" s="236"/>
      <c r="J551" s="236"/>
      <c r="K551" s="236"/>
      <c r="L551" s="236"/>
    </row>
    <row r="552" spans="1:12" ht="15.75" collapsed="1" x14ac:dyDescent="0.25">
      <c r="A552" s="254">
        <v>1861</v>
      </c>
      <c r="B552" s="239" t="s">
        <v>114</v>
      </c>
      <c r="C552" s="239" t="s">
        <v>127</v>
      </c>
      <c r="D552" s="239"/>
      <c r="E552" s="244" t="s">
        <v>229</v>
      </c>
      <c r="F552" s="236"/>
      <c r="G552" s="236"/>
      <c r="H552" s="236"/>
      <c r="I552" s="236"/>
      <c r="J552" s="236"/>
      <c r="K552" s="236"/>
      <c r="L552" s="236"/>
    </row>
    <row r="553" spans="1:12" ht="15.6" hidden="1" customHeight="1" outlineLevel="1" x14ac:dyDescent="0.25">
      <c r="A553" s="236"/>
      <c r="B553" s="239" t="s">
        <v>114</v>
      </c>
      <c r="C553" s="239" t="s">
        <v>127</v>
      </c>
      <c r="D553" s="239"/>
      <c r="E553" s="245" t="s">
        <v>32</v>
      </c>
      <c r="F553" s="256">
        <v>49281</v>
      </c>
      <c r="G553" s="257">
        <v>51735</v>
      </c>
      <c r="H553" s="258">
        <v>54105</v>
      </c>
      <c r="I553" s="259">
        <v>55075</v>
      </c>
      <c r="J553" s="258">
        <v>56178</v>
      </c>
      <c r="K553" s="257">
        <v>59004</v>
      </c>
      <c r="L553" s="256">
        <v>61846</v>
      </c>
    </row>
    <row r="554" spans="1:12" ht="15.6" hidden="1" customHeight="1" outlineLevel="1" x14ac:dyDescent="0.25">
      <c r="A554" s="236"/>
      <c r="B554" s="236"/>
      <c r="C554" s="236"/>
      <c r="D554" s="236"/>
      <c r="E554" s="236"/>
      <c r="F554" s="236"/>
      <c r="G554" s="236"/>
      <c r="H554" s="236"/>
      <c r="I554" s="236"/>
      <c r="J554" s="236"/>
      <c r="K554" s="236"/>
      <c r="L554" s="236"/>
    </row>
    <row r="555" spans="1:12" ht="14.85" customHeight="1" collapsed="1" x14ac:dyDescent="0.25">
      <c r="A555" s="237">
        <v>96</v>
      </c>
      <c r="B555" s="239" t="s">
        <v>115</v>
      </c>
      <c r="C555" s="239" t="s">
        <v>126</v>
      </c>
      <c r="D555" s="239"/>
      <c r="E555" s="244" t="s">
        <v>227</v>
      </c>
      <c r="F555" s="236"/>
      <c r="G555" s="236"/>
      <c r="H555" s="236"/>
      <c r="I555" s="236"/>
      <c r="J555" s="236"/>
      <c r="K555" s="236"/>
      <c r="L555" s="236"/>
    </row>
    <row r="556" spans="1:12" ht="15.6" hidden="1" customHeight="1" outlineLevel="1" x14ac:dyDescent="0.25">
      <c r="A556" s="236"/>
      <c r="B556" s="239" t="s">
        <v>115</v>
      </c>
      <c r="C556" s="239" t="s">
        <v>126</v>
      </c>
      <c r="D556" s="239"/>
      <c r="E556" s="245" t="s">
        <v>32</v>
      </c>
      <c r="F556" s="256">
        <v>52925</v>
      </c>
      <c r="G556" s="257">
        <v>56414</v>
      </c>
      <c r="H556" s="258">
        <v>59986</v>
      </c>
      <c r="I556" s="259">
        <v>61934</v>
      </c>
      <c r="J556" s="258">
        <v>63336</v>
      </c>
      <c r="K556" s="257">
        <v>67179</v>
      </c>
      <c r="L556" s="256">
        <v>73096</v>
      </c>
    </row>
    <row r="557" spans="1:12" ht="15.6" hidden="1" customHeight="1" outlineLevel="1" x14ac:dyDescent="0.25">
      <c r="A557" s="236"/>
      <c r="B557" s="236"/>
      <c r="C557" s="236"/>
      <c r="D557" s="236"/>
      <c r="E557" s="236"/>
      <c r="F557" s="236"/>
      <c r="G557" s="236"/>
      <c r="H557" s="236"/>
      <c r="I557" s="236"/>
      <c r="J557" s="236"/>
      <c r="K557" s="236"/>
      <c r="L557" s="236"/>
    </row>
    <row r="558" spans="1:12" ht="15.75" collapsed="1" x14ac:dyDescent="0.25">
      <c r="A558" s="254">
        <v>678</v>
      </c>
      <c r="B558" s="239" t="s">
        <v>115</v>
      </c>
      <c r="C558" s="239" t="s">
        <v>127</v>
      </c>
      <c r="D558" s="239"/>
      <c r="E558" s="244" t="s">
        <v>228</v>
      </c>
      <c r="F558" s="236"/>
      <c r="G558" s="236"/>
      <c r="H558" s="236"/>
      <c r="I558" s="236"/>
      <c r="J558" s="236"/>
      <c r="K558" s="236"/>
      <c r="L558" s="236"/>
    </row>
    <row r="559" spans="1:12" ht="15.6" hidden="1" customHeight="1" outlineLevel="1" x14ac:dyDescent="0.25">
      <c r="A559" s="236"/>
      <c r="B559" s="239" t="s">
        <v>115</v>
      </c>
      <c r="C559" s="239" t="s">
        <v>127</v>
      </c>
      <c r="D559" s="239"/>
      <c r="E559" s="245" t="s">
        <v>32</v>
      </c>
      <c r="F559" s="256">
        <v>49083</v>
      </c>
      <c r="G559" s="257">
        <v>51180</v>
      </c>
      <c r="H559" s="258">
        <v>53946</v>
      </c>
      <c r="I559" s="259">
        <v>55066</v>
      </c>
      <c r="J559" s="258">
        <v>56013</v>
      </c>
      <c r="K559" s="257">
        <v>59099</v>
      </c>
      <c r="L559" s="256">
        <v>62877</v>
      </c>
    </row>
    <row r="560" spans="1:12" ht="15.6" hidden="1" customHeight="1" outlineLevel="1" x14ac:dyDescent="0.25">
      <c r="A560" s="236"/>
      <c r="B560" s="236"/>
      <c r="C560" s="236"/>
      <c r="D560" s="236"/>
      <c r="E560" s="236"/>
      <c r="F560" s="236"/>
      <c r="G560" s="236"/>
      <c r="H560" s="236"/>
      <c r="I560" s="236"/>
      <c r="J560" s="236"/>
      <c r="K560" s="236"/>
      <c r="L560" s="236"/>
    </row>
    <row r="561" ht="15.6" hidden="1" customHeight="1" outlineLevel="1" x14ac:dyDescent="0.2"/>
    <row r="562" collapsed="1" x14ac:dyDescent="0.2"/>
    <row r="563" x14ac:dyDescent="0.2"/>
    <row r="564" x14ac:dyDescent="0.2"/>
    <row r="565" x14ac:dyDescent="0.2"/>
    <row r="566" x14ac:dyDescent="0.2"/>
    <row r="567" x14ac:dyDescent="0.2"/>
    <row r="568" x14ac:dyDescent="0.2"/>
    <row r="569" x14ac:dyDescent="0.2"/>
    <row r="570" x14ac:dyDescent="0.2"/>
    <row r="571" x14ac:dyDescent="0.2"/>
    <row r="572" x14ac:dyDescent="0.2"/>
    <row r="573" x14ac:dyDescent="0.2"/>
    <row r="574" x14ac:dyDescent="0.2"/>
    <row r="575" x14ac:dyDescent="0.2"/>
    <row r="576" x14ac:dyDescent="0.2"/>
    <row r="577" x14ac:dyDescent="0.2"/>
    <row r="578" x14ac:dyDescent="0.2"/>
    <row r="579" x14ac:dyDescent="0.2"/>
    <row r="580" x14ac:dyDescent="0.2"/>
    <row r="581" x14ac:dyDescent="0.2"/>
    <row r="582" x14ac:dyDescent="0.2"/>
    <row r="583" x14ac:dyDescent="0.2"/>
    <row r="584" x14ac:dyDescent="0.2"/>
    <row r="585" x14ac:dyDescent="0.2"/>
    <row r="586" x14ac:dyDescent="0.2"/>
    <row r="587" x14ac:dyDescent="0.2"/>
    <row r="588" x14ac:dyDescent="0.2"/>
    <row r="589" x14ac:dyDescent="0.2"/>
    <row r="590" x14ac:dyDescent="0.2"/>
    <row r="591" x14ac:dyDescent="0.2"/>
    <row r="592" x14ac:dyDescent="0.2"/>
    <row r="593" x14ac:dyDescent="0.2"/>
    <row r="594" x14ac:dyDescent="0.2"/>
    <row r="595" x14ac:dyDescent="0.2"/>
    <row r="596" x14ac:dyDescent="0.2"/>
    <row r="597" x14ac:dyDescent="0.2"/>
    <row r="598" x14ac:dyDescent="0.2"/>
    <row r="599" x14ac:dyDescent="0.2"/>
    <row r="600" x14ac:dyDescent="0.2"/>
    <row r="601" x14ac:dyDescent="0.2"/>
    <row r="602" x14ac:dyDescent="0.2"/>
    <row r="603" x14ac:dyDescent="0.2"/>
    <row r="604" x14ac:dyDescent="0.2"/>
    <row r="605" x14ac:dyDescent="0.2"/>
    <row r="606" x14ac:dyDescent="0.2"/>
    <row r="607" x14ac:dyDescent="0.2"/>
    <row r="608" x14ac:dyDescent="0.2"/>
  </sheetData>
  <sheetProtection formatColumns="0" insertColumns="0"/>
  <mergeCells count="2">
    <mergeCell ref="D427:E427"/>
    <mergeCell ref="D542:E542"/>
  </mergeCells>
  <pageMargins left="0.7" right="0.7" top="0.75" bottom="0.75" header="0.3" footer="0.3"/>
  <pageSetup paperSize="9" scale="55" fitToHeight="0" orientation="landscape" r:id="rId1"/>
  <rowBreaks count="12" manualBreakCount="12">
    <brk id="44" max="16383" man="1"/>
    <brk id="86" max="16383" man="1"/>
    <brk id="128" max="16383" man="1"/>
    <brk id="170" max="16383" man="1"/>
    <brk id="214" max="16383" man="1"/>
    <brk id="256" max="16383" man="1"/>
    <brk id="298" max="16383" man="1"/>
    <brk id="340" max="16383" man="1"/>
    <brk id="382" max="16383" man="1"/>
    <brk id="424" max="16383" man="1"/>
    <brk id="468" max="16383" man="1"/>
    <brk id="512" max="16383" man="1"/>
  </rowBreaks>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64D438D9059004EAC42B190F6A82426" ma:contentTypeVersion="0" ma:contentTypeDescription="Create a new document." ma:contentTypeScope="" ma:versionID="026f50c08693dd2d3de4f04f5cbb7d2e">
  <xsd:schema xmlns:xsd="http://www.w3.org/2001/XMLSchema" xmlns:xs="http://www.w3.org/2001/XMLSchema" xmlns:p="http://schemas.microsoft.com/office/2006/metadata/properties" targetNamespace="http://schemas.microsoft.com/office/2006/metadata/properties" ma:root="true" ma:fieldsID="31f370d567ae48554ebb6f8ccbcb4ba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7381B87-A0F2-45A4-8B11-A2B83BC425F4}">
  <ds:schemaRefs>
    <ds:schemaRef ds:uri="http://schemas.microsoft.com/sharepoint/v3/contenttype/forms"/>
  </ds:schemaRefs>
</ds:datastoreItem>
</file>

<file path=customXml/itemProps2.xml><?xml version="1.0" encoding="utf-8"?>
<ds:datastoreItem xmlns:ds="http://schemas.openxmlformats.org/officeDocument/2006/customXml" ds:itemID="{EFA8976E-F13C-4CFB-9656-D3A8EA5371B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6D39FFC6-7B18-4D7B-BAE2-8186DCA2A237}">
  <ds:schemaRefs>
    <ds:schemaRef ds:uri="http://www.w3.org/XML/1998/namespace"/>
    <ds:schemaRef ds:uri="http://schemas.microsoft.com/office/2006/documentManagement/types"/>
    <ds:schemaRef ds:uri="http://schemas.openxmlformats.org/package/2006/metadata/core-properties"/>
    <ds:schemaRef ds:uri="http://schemas.microsoft.com/office/2006/metadata/properties"/>
    <ds:schemaRef ds:uri="http://purl.org/dc/elements/1.1/"/>
    <ds:schemaRef ds:uri="http://schemas.microsoft.com/office/infopath/2007/PartnerControls"/>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79</vt:i4>
      </vt:variant>
    </vt:vector>
  </HeadingPairs>
  <TitlesOfParts>
    <vt:vector size="80" baseType="lpstr">
      <vt:lpstr>Enable Macros</vt:lpstr>
      <vt:lpstr>A</vt:lpstr>
      <vt:lpstr>APL</vt:lpstr>
      <vt:lpstr>APNL</vt:lpstr>
      <vt:lpstr>ATL</vt:lpstr>
      <vt:lpstr>ATNL</vt:lpstr>
      <vt:lpstr>Average</vt:lpstr>
      <vt:lpstr>Below</vt:lpstr>
      <vt:lpstr>Empty</vt:lpstr>
      <vt:lpstr>Full</vt:lpstr>
      <vt:lpstr>Good</vt:lpstr>
      <vt:lpstr>High</vt:lpstr>
      <vt:lpstr>Higher</vt:lpstr>
      <vt:lpstr>Highest10</vt:lpstr>
      <vt:lpstr>Highest20</vt:lpstr>
      <vt:lpstr>Inadequate</vt:lpstr>
      <vt:lpstr>Inline</vt:lpstr>
      <vt:lpstr>Inline2</vt:lpstr>
      <vt:lpstr>Low</vt:lpstr>
      <vt:lpstr>Lower</vt:lpstr>
      <vt:lpstr>Lowest10</vt:lpstr>
      <vt:lpstr>Lowest20</vt:lpstr>
      <vt:lpstr>Medium</vt:lpstr>
      <vt:lpstr>Middle20</vt:lpstr>
      <vt:lpstr>Muchhigher</vt:lpstr>
      <vt:lpstr>MuchLower</vt:lpstr>
      <vt:lpstr>NL</vt:lpstr>
      <vt:lpstr>NNL</vt:lpstr>
      <vt:lpstr>OpEmpty</vt:lpstr>
      <vt:lpstr>OpFull</vt:lpstr>
      <vt:lpstr>Outstanding</vt:lpstr>
      <vt:lpstr>PL</vt:lpstr>
      <vt:lpstr>PLH</vt:lpstr>
      <vt:lpstr>PLL</vt:lpstr>
      <vt:lpstr>PLM</vt:lpstr>
      <vt:lpstr>PMH</vt:lpstr>
      <vt:lpstr>PML</vt:lpstr>
      <vt:lpstr>PMM</vt:lpstr>
      <vt:lpstr>PNL</vt:lpstr>
      <vt:lpstr>Checklist!Print_Area</vt:lpstr>
      <vt:lpstr>Dashboard!Print_Area</vt:lpstr>
      <vt:lpstr>'Introduction and outcomes'!Print_Area</vt:lpstr>
      <vt:lpstr>'Optional - input raw data'!Print_Area</vt:lpstr>
      <vt:lpstr>Dashboard!Print_Titles</vt:lpstr>
      <vt:lpstr>'Optional - input raw data'!Print_Titles</vt:lpstr>
      <vt:lpstr>PSH</vt:lpstr>
      <vt:lpstr>PSL</vt:lpstr>
      <vt:lpstr>PSM</vt:lpstr>
      <vt:lpstr>PVSH</vt:lpstr>
      <vt:lpstr>PVSL</vt:lpstr>
      <vt:lpstr>PVSM</vt:lpstr>
      <vt:lpstr>RI</vt:lpstr>
      <vt:lpstr>SchoolList</vt:lpstr>
      <vt:lpstr>SchooolList</vt:lpstr>
      <vt:lpstr>SL</vt:lpstr>
      <vt:lpstr>SLH</vt:lpstr>
      <vt:lpstr>SLL</vt:lpstr>
      <vt:lpstr>SLM</vt:lpstr>
      <vt:lpstr>SMH</vt:lpstr>
      <vt:lpstr>SML</vt:lpstr>
      <vt:lpstr>SMM</vt:lpstr>
      <vt:lpstr>SNL</vt:lpstr>
      <vt:lpstr>SPL</vt:lpstr>
      <vt:lpstr>SPNL</vt:lpstr>
      <vt:lpstr>SSH</vt:lpstr>
      <vt:lpstr>SSL</vt:lpstr>
      <vt:lpstr>SSLH</vt:lpstr>
      <vt:lpstr>SSLL</vt:lpstr>
      <vt:lpstr>SSLM</vt:lpstr>
      <vt:lpstr>SSLo</vt:lpstr>
      <vt:lpstr>SSM</vt:lpstr>
      <vt:lpstr>SSMH</vt:lpstr>
      <vt:lpstr>SSML</vt:lpstr>
      <vt:lpstr>SSMM</vt:lpstr>
      <vt:lpstr>SSNL</vt:lpstr>
      <vt:lpstr>SSSH</vt:lpstr>
      <vt:lpstr>SSSL</vt:lpstr>
      <vt:lpstr>SSSM</vt:lpstr>
      <vt:lpstr>Wellabove</vt:lpstr>
      <vt:lpstr>Wellbelow</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hboardman</dc:creator>
  <cp:lastModifiedBy>K.Whordley</cp:lastModifiedBy>
  <cp:lastPrinted>2021-03-12T16:18:37Z</cp:lastPrinted>
  <dcterms:created xsi:type="dcterms:W3CDTF">2017-10-02T14:43:37Z</dcterms:created>
  <dcterms:modified xsi:type="dcterms:W3CDTF">2021-03-15T14:45:18Z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fWorkbookId">
    <vt:lpwstr>481d4875-6cd3-4c4c-adfc-bb088af22cbb</vt:lpwstr>
  </property>
  <property fmtid="{D5CDD505-2E9C-101B-9397-08002B2CF9AE}" pid="3" name="ContentTypeId">
    <vt:lpwstr>0x010100164D438D9059004EAC42B190F6A82426</vt:lpwstr>
  </property>
</Properties>
</file>