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N:\4 Finance\ESFA\SRMA Return Nov 2019\"/>
    </mc:Choice>
  </mc:AlternateContent>
  <workbookProtection workbookAlgorithmName="SHA-512" workbookHashValue="3BQ8dHnJZjxiDZaE8TDywExciZqdwTIVJc7pvVseM8cBcbY+kg1VZPsS/Gaojk67PWI+Cb67iNOZr3JZ+ymrLQ==" workbookSaltValue="brFCr7oAEwYxuysrpQychw==" workbookSpinCount="100000" lockStructure="1"/>
  <bookViews>
    <workbookView xWindow="0" yWindow="0" windowWidth="28800" windowHeight="11655" tabRatio="925" activeTab="1"/>
  </bookViews>
  <sheets>
    <sheet name="Introduction and outcomes" sheetId="17" r:id="rId1"/>
    <sheet name="Checklist" sheetId="21" r:id="rId2"/>
    <sheet name="Dashboard" sheetId="23" r:id="rId3"/>
    <sheet name="Optional - input raw data" sheetId="24" r:id="rId4"/>
    <sheet name="RAG rating data for your school" sheetId="19" r:id="rId5"/>
    <sheet name="RAG rating data for all schools" sheetId="20" r:id="rId6"/>
    <sheet name="Calcs" sheetId="22" state="hidden" r:id="rId7"/>
  </sheets>
  <definedNames>
    <definedName name="A">Calcs!$C$9:$I$21</definedName>
    <definedName name="Actuaries" localSheetId="1">#REF!</definedName>
    <definedName name="Actuaries" localSheetId="0">#REF!</definedName>
    <definedName name="APL">'RAG rating data for all schools'!$F$457:$L$468</definedName>
    <definedName name="APNL">'RAG rating data for all schools'!$F$471:$L$482</definedName>
    <definedName name="ATL">'RAG rating data for all schools'!$F$485:$L$497</definedName>
    <definedName name="ATNL">'RAG rating data for all schools'!$F$500:$L$512</definedName>
    <definedName name="Average">Calcs!$B$67</definedName>
    <definedName name="B">Calcs!$K$9:$Q$21</definedName>
    <definedName name="Below">Calcs!$B$66</definedName>
    <definedName name="CC">Calcs!$S$9:$Y$21</definedName>
    <definedName name="D">Calcs!$AA$9:$AG$21</definedName>
    <definedName name="E">Calcs!$AI$9:$AO$21</definedName>
    <definedName name="F">Calcs!$AQ$9:$AW$21</definedName>
    <definedName name="G">Calcs!$AY$9:$BE$21</definedName>
    <definedName name="Good">Calcs!$B$62</definedName>
    <definedName name="H">Calcs!$BG$9:$BM$21</definedName>
    <definedName name="High">Calcs!$A$62</definedName>
    <definedName name="Higher">Calcs!$B$57</definedName>
    <definedName name="Highest10">Calcs!$A$59</definedName>
    <definedName name="Highest20">Calcs!$A$58</definedName>
    <definedName name="I">Calcs!$BO$9:$BU$20</definedName>
    <definedName name="Inadequate">Calcs!$B$60</definedName>
    <definedName name="Inline">Calcs!$A$56</definedName>
    <definedName name="Inline2">Calcs!$B$56</definedName>
    <definedName name="J">Calcs!$BW$9:$CC$21</definedName>
    <definedName name="K">Calcs!$CE$9:$CK$21</definedName>
    <definedName name="L">Calcs!$CM$9:$CS$21</definedName>
    <definedName name="Low">Calcs!$A$64</definedName>
    <definedName name="Lower">Calcs!$B$55</definedName>
    <definedName name="Lowest10">Calcs!$A$54</definedName>
    <definedName name="Lowest20">Calcs!$A$55</definedName>
    <definedName name="M">Calcs!$CU$9:$DA$21</definedName>
    <definedName name="Medium">Calcs!$A$63</definedName>
    <definedName name="Middle20">Calcs!$A$57</definedName>
    <definedName name="Muchhigher">Calcs!$B$58</definedName>
    <definedName name="Muchlower">Calcs!$B$54</definedName>
    <definedName name="N">Calcs!$DC$9:$DI$21</definedName>
    <definedName name="NL">'RAG rating data for all schools'!$F$515:$L$526</definedName>
    <definedName name="NNL">'RAG rating data for all schools'!$F$529:$L$540</definedName>
    <definedName name="O">Calcs!$DK$9:$DQ$21</definedName>
    <definedName name="Outstanding">Calcs!$B$63</definedName>
    <definedName name="P">Calcs!$DS$9:$DY$21</definedName>
    <definedName name="PL">'RAG rating data for all schools'!$F$544:$L$544</definedName>
    <definedName name="PLH">'RAG rating data for all schools'!$F$159:$L$170</definedName>
    <definedName name="PLL">'RAG rating data for all schools'!$F$47:$L$58</definedName>
    <definedName name="PLM">'RAG rating data for all schools'!$F$103:$L$114</definedName>
    <definedName name="PMH">'RAG rating data for all schools'!$F$145:$L$156</definedName>
    <definedName name="PML">'RAG rating data for all schools'!$F$33:$L$44</definedName>
    <definedName name="PMM">'RAG rating data for all schools'!$F$89:$L$100</definedName>
    <definedName name="PNL">'RAG rating data for all schools'!$F$547:$L$547</definedName>
    <definedName name="_xlnm.Print_Area" localSheetId="1">Checklist!$B$2:$R$71</definedName>
    <definedName name="_xlnm.Print_Area" localSheetId="2">Dashboard!$B$2:$CG$81</definedName>
    <definedName name="_xlnm.Print_Area" localSheetId="0">'Introduction and outcomes'!$B$2:$U$21</definedName>
    <definedName name="_xlnm.Print_Area" localSheetId="3">'Optional - input raw data'!$B$2:$AS$66</definedName>
    <definedName name="PSH">'RAG rating data for all schools'!$F$131:$L$142</definedName>
    <definedName name="PSL">'RAG rating data for all schools'!$F$19:$L$30</definedName>
    <definedName name="PSM">'RAG rating data for all schools'!$F$75:$L$86</definedName>
    <definedName name="PVSH">'RAG rating data for all schools'!$F$117:$L$128</definedName>
    <definedName name="PVSL">'RAG rating data for all schools'!$F$5:$L$16</definedName>
    <definedName name="PVSM">'RAG rating data for all schools'!$F$61:$L$72</definedName>
    <definedName name="Q">Calcs!$EA$9:$EG$21</definedName>
    <definedName name="RI">Calcs!$B$61</definedName>
    <definedName name="RR">Calcs!$EI$9:$EO$21</definedName>
    <definedName name="S">Calcs!$EQ$9:$EW$21</definedName>
    <definedName name="SL">'RAG rating data for all schools'!$F$556:$L$556</definedName>
    <definedName name="SLH">'RAG rating data for all schools'!$F$413:$L$424</definedName>
    <definedName name="SLL">'RAG rating data for all schools'!$F$245:$L$256</definedName>
    <definedName name="SLM">'RAG rating data for all schools'!$F$329:$L$340</definedName>
    <definedName name="SMH">'RAG rating data for all schools'!$F$399:$L$410</definedName>
    <definedName name="SML">'RAG rating data for all schools'!$F$231:$L$242</definedName>
    <definedName name="SMM">'RAG rating data for all schools'!$F$315:$L$326</definedName>
    <definedName name="SNL">'RAG rating data for all schools'!$F$559:$L$559</definedName>
    <definedName name="SPL">'RAG rating data for all schools'!$F$429:$L$440</definedName>
    <definedName name="SPNL">'RAG rating data for all schools'!$F$443:$L$454</definedName>
    <definedName name="SSH">'RAG rating data for all schools'!$F$385:$L$396</definedName>
    <definedName name="SSL">'RAG rating data for all schools'!$F$217:$L$228</definedName>
    <definedName name="SSLH">'RAG rating data for all schools'!$F$371:$L$382</definedName>
    <definedName name="SSLL">'RAG rating data for all schools'!$F$203:$L$214</definedName>
    <definedName name="SSLM">'RAG rating data for all schools'!$F$287:$L$298</definedName>
    <definedName name="SSLo">'RAG rating data for all schools'!$F$550:$L$550</definedName>
    <definedName name="SSM">'RAG rating data for all schools'!$F$301:$L$312</definedName>
    <definedName name="SSMH">'RAG rating data for all schools'!$F$357:$L$368</definedName>
    <definedName name="SSML">'RAG rating data for all schools'!$F$189:$L$200</definedName>
    <definedName name="SSMM">'RAG rating data for all schools'!$F$273:$L$284</definedName>
    <definedName name="SSNL">'RAG rating data for all schools'!$F$553:$L$553</definedName>
    <definedName name="SSSH">'RAG rating data for all schools'!$F$343:$L$354</definedName>
    <definedName name="SSSL">'RAG rating data for all schools'!$F$175:$L$186</definedName>
    <definedName name="SSSM">'RAG rating data for all schools'!$F$259:$L$270</definedName>
    <definedName name="T">Calcs!$EY$9:$FE$21</definedName>
    <definedName name="Wellabove">Calcs!$B$68</definedName>
    <definedName name="Wellbelow">Calcs!$B$65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9" i="23" l="1"/>
  <c r="J58" i="23"/>
  <c r="J57" i="23"/>
  <c r="J56" i="23"/>
  <c r="J55" i="23"/>
  <c r="J51" i="23"/>
  <c r="J50" i="23"/>
  <c r="J46" i="23"/>
  <c r="J45" i="23"/>
  <c r="J44" i="23"/>
  <c r="J43" i="23"/>
  <c r="J42" i="23"/>
  <c r="J41" i="23"/>
  <c r="J40" i="23"/>
  <c r="J39" i="23"/>
  <c r="J38" i="23"/>
  <c r="F59" i="23"/>
  <c r="F58" i="23"/>
  <c r="F57" i="23"/>
  <c r="F56" i="23"/>
  <c r="F55" i="23"/>
  <c r="F51" i="23"/>
  <c r="F50" i="23"/>
  <c r="F46" i="23"/>
  <c r="F45" i="23"/>
  <c r="F44" i="23"/>
  <c r="F43" i="23"/>
  <c r="F42" i="23"/>
  <c r="F41" i="23"/>
  <c r="F40" i="23"/>
  <c r="F39" i="23"/>
  <c r="F38" i="23"/>
  <c r="CD20" i="23"/>
  <c r="BZ20" i="23"/>
  <c r="BV20" i="23"/>
  <c r="BR20" i="23"/>
  <c r="BN20" i="23"/>
  <c r="BJ20" i="23"/>
  <c r="BF20" i="23"/>
  <c r="BB20" i="23"/>
  <c r="AX20" i="23"/>
  <c r="AT20" i="23"/>
  <c r="AP20" i="23"/>
  <c r="AL20" i="23"/>
  <c r="AH20" i="23"/>
  <c r="AD20" i="23"/>
  <c r="Z20" i="23"/>
  <c r="V20" i="23" l="1"/>
  <c r="R20" i="23"/>
  <c r="N20" i="23"/>
  <c r="J20" i="23"/>
  <c r="A29" i="22" l="1"/>
  <c r="F47" i="23" l="1"/>
  <c r="AR9" i="24"/>
  <c r="AP9" i="24"/>
  <c r="AN9" i="24"/>
  <c r="AL9" i="24"/>
  <c r="AJ9" i="24"/>
  <c r="AH9" i="24"/>
  <c r="AF9" i="24"/>
  <c r="AD9" i="24"/>
  <c r="AB9" i="24"/>
  <c r="Z9" i="24"/>
  <c r="X9" i="24"/>
  <c r="V9" i="24"/>
  <c r="T9" i="24"/>
  <c r="R9" i="24"/>
  <c r="P9" i="24"/>
  <c r="N9" i="24"/>
  <c r="L9" i="24"/>
  <c r="J9" i="24"/>
  <c r="H9" i="24"/>
  <c r="F9" i="24"/>
  <c r="Q86" i="19" l="1"/>
  <c r="L86" i="19"/>
  <c r="G86" i="19"/>
  <c r="D86" i="19"/>
  <c r="R59" i="23" l="1"/>
  <c r="R58" i="23"/>
  <c r="R57" i="23"/>
  <c r="R56" i="23"/>
  <c r="R55" i="23"/>
  <c r="R51" i="23"/>
  <c r="R50" i="23"/>
  <c r="R46" i="23"/>
  <c r="R45" i="23"/>
  <c r="R44" i="23"/>
  <c r="R43" i="23"/>
  <c r="R42" i="23"/>
  <c r="R41" i="23"/>
  <c r="R40" i="23"/>
  <c r="R39" i="23"/>
  <c r="R38" i="23"/>
  <c r="N59" i="23"/>
  <c r="N58" i="23"/>
  <c r="N57" i="23"/>
  <c r="N56" i="23"/>
  <c r="N55" i="23"/>
  <c r="N51" i="23"/>
  <c r="N50" i="23"/>
  <c r="N46" i="23"/>
  <c r="N45" i="23"/>
  <c r="N44" i="23"/>
  <c r="N43" i="23"/>
  <c r="N42" i="23"/>
  <c r="N41" i="23"/>
  <c r="N40" i="23"/>
  <c r="N39" i="23"/>
  <c r="N38" i="23"/>
  <c r="N47" i="23" s="1"/>
  <c r="CD59" i="23"/>
  <c r="CD58" i="23"/>
  <c r="CD57" i="23"/>
  <c r="CD56" i="23"/>
  <c r="CD55" i="23"/>
  <c r="CD51" i="23"/>
  <c r="CD50" i="23"/>
  <c r="CD46" i="23"/>
  <c r="CD45" i="23"/>
  <c r="CD44" i="23"/>
  <c r="CD43" i="23"/>
  <c r="CD42" i="23"/>
  <c r="CD41" i="23"/>
  <c r="CD40" i="23"/>
  <c r="CD39" i="23"/>
  <c r="CD38" i="23"/>
  <c r="CD47" i="23" l="1"/>
  <c r="R47" i="23"/>
  <c r="A75" i="22"/>
  <c r="Z35" i="22" l="1"/>
  <c r="I72" i="19" l="1"/>
  <c r="M74" i="19"/>
  <c r="J74" i="19"/>
  <c r="H74" i="19"/>
  <c r="E74" i="19"/>
  <c r="M51" i="19"/>
  <c r="J51" i="19"/>
  <c r="H51" i="19"/>
  <c r="E51" i="19"/>
  <c r="M48" i="19"/>
  <c r="J48" i="19"/>
  <c r="H48" i="19"/>
  <c r="E48" i="19"/>
  <c r="Z36" i="22"/>
  <c r="AA36" i="22"/>
  <c r="Z37" i="22"/>
  <c r="AA37" i="22"/>
  <c r="AA35" i="22"/>
  <c r="CD22" i="23" l="1"/>
  <c r="BZ22" i="23"/>
  <c r="BV22" i="23"/>
  <c r="BR22" i="23"/>
  <c r="BN22" i="23"/>
  <c r="BJ22" i="23"/>
  <c r="BF22" i="23"/>
  <c r="BB22" i="23"/>
  <c r="AT22" i="23"/>
  <c r="AL22" i="23"/>
  <c r="DC5" i="22" l="1"/>
  <c r="C5" i="22"/>
  <c r="H48" i="22"/>
  <c r="G48" i="22"/>
  <c r="F48" i="22"/>
  <c r="I48" i="22" s="1"/>
  <c r="E48" i="22"/>
  <c r="H47" i="22"/>
  <c r="G47" i="22"/>
  <c r="F47" i="22"/>
  <c r="I47" i="22" s="1"/>
  <c r="E47" i="22"/>
  <c r="H46" i="22"/>
  <c r="G46" i="22"/>
  <c r="F46" i="22"/>
  <c r="I46" i="22" s="1"/>
  <c r="E46" i="22"/>
  <c r="H45" i="22"/>
  <c r="G45" i="22"/>
  <c r="F45" i="22"/>
  <c r="I45" i="22" s="1"/>
  <c r="E45" i="22"/>
  <c r="H44" i="22"/>
  <c r="G44" i="22"/>
  <c r="F44" i="22"/>
  <c r="I44" i="22" s="1"/>
  <c r="E44" i="22"/>
  <c r="H43" i="22"/>
  <c r="G43" i="22"/>
  <c r="F43" i="22"/>
  <c r="I43" i="22" s="1"/>
  <c r="E43" i="22"/>
  <c r="H42" i="22"/>
  <c r="G42" i="22"/>
  <c r="F42" i="22"/>
  <c r="I42" i="22" s="1"/>
  <c r="E42" i="22"/>
  <c r="H41" i="22"/>
  <c r="G41" i="22"/>
  <c r="F41" i="22"/>
  <c r="I41" i="22" s="1"/>
  <c r="E41" i="22"/>
  <c r="H40" i="22"/>
  <c r="G40" i="22"/>
  <c r="F40" i="22"/>
  <c r="I40" i="22" s="1"/>
  <c r="AX22" i="23" s="1"/>
  <c r="E40" i="22"/>
  <c r="H39" i="22"/>
  <c r="G39" i="22"/>
  <c r="F39" i="22"/>
  <c r="I39" i="22" s="1"/>
  <c r="E39" i="22"/>
  <c r="H38" i="22"/>
  <c r="G38" i="22"/>
  <c r="F38" i="22"/>
  <c r="I38" i="22" s="1"/>
  <c r="AP22" i="23" s="1"/>
  <c r="E38" i="22"/>
  <c r="H37" i="22"/>
  <c r="G37" i="22"/>
  <c r="F37" i="22"/>
  <c r="I37" i="22" s="1"/>
  <c r="E37" i="22"/>
  <c r="H36" i="22"/>
  <c r="G36" i="22"/>
  <c r="F36" i="22"/>
  <c r="I36" i="22" s="1"/>
  <c r="AH22" i="23" s="1"/>
  <c r="E36" i="22"/>
  <c r="H35" i="22"/>
  <c r="G35" i="22"/>
  <c r="F35" i="22"/>
  <c r="I35" i="22" s="1"/>
  <c r="AD22" i="23" s="1"/>
  <c r="E35" i="22"/>
  <c r="H34" i="22"/>
  <c r="G34" i="22"/>
  <c r="F34" i="22"/>
  <c r="I34" i="22" s="1"/>
  <c r="Z22" i="23" s="1"/>
  <c r="E34" i="22"/>
  <c r="H33" i="22"/>
  <c r="G33" i="22"/>
  <c r="F33" i="22"/>
  <c r="I33" i="22" s="1"/>
  <c r="V22" i="23" s="1"/>
  <c r="E33" i="22"/>
  <c r="H32" i="22"/>
  <c r="G32" i="22"/>
  <c r="F32" i="22"/>
  <c r="I32" i="22" s="1"/>
  <c r="R22" i="23" s="1"/>
  <c r="E32" i="22"/>
  <c r="H31" i="22"/>
  <c r="G31" i="22"/>
  <c r="F31" i="22"/>
  <c r="I31" i="22" s="1"/>
  <c r="N22" i="23" s="1"/>
  <c r="E31" i="22"/>
  <c r="H30" i="22"/>
  <c r="G30" i="22"/>
  <c r="F30" i="22"/>
  <c r="I30" i="22" s="1"/>
  <c r="J22" i="23" s="1"/>
  <c r="E30" i="22"/>
  <c r="L30" i="22" l="1"/>
  <c r="L31" i="22"/>
  <c r="L32" i="22"/>
  <c r="L33" i="22"/>
  <c r="L34" i="22"/>
  <c r="L35" i="22"/>
  <c r="L36" i="22"/>
  <c r="L37" i="22"/>
  <c r="L38" i="22"/>
  <c r="L39" i="22"/>
  <c r="L40" i="22"/>
  <c r="L41" i="22"/>
  <c r="L42" i="22"/>
  <c r="L43" i="22"/>
  <c r="L44" i="22"/>
  <c r="L45" i="22"/>
  <c r="L46" i="22"/>
  <c r="L47" i="22"/>
  <c r="L48" i="22"/>
  <c r="K30" i="22"/>
  <c r="N30" i="22" s="1"/>
  <c r="J30" i="22"/>
  <c r="J31" i="22"/>
  <c r="K31" i="22"/>
  <c r="N31" i="22" s="1"/>
  <c r="K32" i="22"/>
  <c r="N32" i="22" s="1"/>
  <c r="J32" i="22"/>
  <c r="J33" i="22"/>
  <c r="K33" i="22"/>
  <c r="N33" i="22" s="1"/>
  <c r="K34" i="22"/>
  <c r="N34" i="22" s="1"/>
  <c r="J34" i="22"/>
  <c r="J35" i="22"/>
  <c r="K35" i="22"/>
  <c r="N35" i="22" s="1"/>
  <c r="K36" i="22"/>
  <c r="N36" i="22" s="1"/>
  <c r="J36" i="22"/>
  <c r="J37" i="22"/>
  <c r="M37" i="22" s="1"/>
  <c r="K37" i="22"/>
  <c r="N37" i="22" s="1"/>
  <c r="K38" i="22"/>
  <c r="N38" i="22" s="1"/>
  <c r="J38" i="22"/>
  <c r="J39" i="22"/>
  <c r="M39" i="22" s="1"/>
  <c r="K39" i="22"/>
  <c r="N39" i="22" s="1"/>
  <c r="K40" i="22"/>
  <c r="N40" i="22" s="1"/>
  <c r="J40" i="22"/>
  <c r="J41" i="22"/>
  <c r="M41" i="22" s="1"/>
  <c r="K41" i="22"/>
  <c r="N41" i="22" s="1"/>
  <c r="K42" i="22"/>
  <c r="N42" i="22" s="1"/>
  <c r="J42" i="22"/>
  <c r="J43" i="22"/>
  <c r="M43" i="22" s="1"/>
  <c r="K43" i="22"/>
  <c r="N43" i="22" s="1"/>
  <c r="K44" i="22"/>
  <c r="N44" i="22" s="1"/>
  <c r="J44" i="22"/>
  <c r="M44" i="22" s="1"/>
  <c r="J45" i="22"/>
  <c r="M45" i="22" s="1"/>
  <c r="K45" i="22"/>
  <c r="N45" i="22" s="1"/>
  <c r="K46" i="22"/>
  <c r="N46" i="22" s="1"/>
  <c r="J46" i="22"/>
  <c r="M46" i="22" s="1"/>
  <c r="J47" i="22"/>
  <c r="M47" i="22" s="1"/>
  <c r="K47" i="22"/>
  <c r="N47" i="22" s="1"/>
  <c r="K48" i="22"/>
  <c r="N48" i="22" s="1"/>
  <c r="J48" i="22"/>
  <c r="M48" i="22" s="1"/>
  <c r="DC7" i="22"/>
  <c r="H29" i="22"/>
  <c r="G29" i="22"/>
  <c r="F29" i="22"/>
  <c r="I29" i="22" s="1"/>
  <c r="F22" i="23" s="1"/>
  <c r="E29" i="22"/>
  <c r="DC6" i="22" l="1"/>
  <c r="C7" i="22"/>
  <c r="M35" i="22"/>
  <c r="M42" i="22"/>
  <c r="M40" i="22"/>
  <c r="M38" i="22"/>
  <c r="M36" i="22"/>
  <c r="M34" i="22"/>
  <c r="M33" i="22"/>
  <c r="M32" i="22"/>
  <c r="M30" i="22"/>
  <c r="L29" i="22"/>
  <c r="M31" i="22"/>
  <c r="J29" i="22"/>
  <c r="K29" i="22"/>
  <c r="F20" i="23" s="1"/>
  <c r="M29" i="22" l="1"/>
  <c r="N29" i="22"/>
  <c r="C6" i="22"/>
  <c r="H50" i="23"/>
  <c r="CF69" i="23"/>
  <c r="CF68" i="23"/>
  <c r="CF67" i="23"/>
  <c r="CF66" i="23"/>
  <c r="CF65" i="23"/>
  <c r="CF61" i="23"/>
  <c r="CF60" i="23"/>
  <c r="CB69" i="23"/>
  <c r="CB68" i="23"/>
  <c r="CB67" i="23"/>
  <c r="CB66" i="23"/>
  <c r="CB65" i="23"/>
  <c r="CB61" i="23"/>
  <c r="CB60" i="23"/>
  <c r="BZ38" i="23"/>
  <c r="BZ39" i="23"/>
  <c r="CB39" i="23" s="1"/>
  <c r="BZ40" i="23"/>
  <c r="CB40" i="23" s="1"/>
  <c r="BZ41" i="23"/>
  <c r="CB41" i="23" s="1"/>
  <c r="BZ42" i="23"/>
  <c r="CB42" i="23" s="1"/>
  <c r="BZ43" i="23"/>
  <c r="CB43" i="23" s="1"/>
  <c r="BZ44" i="23"/>
  <c r="CB44" i="23" s="1"/>
  <c r="BZ45" i="23"/>
  <c r="CB45" i="23" s="1"/>
  <c r="BZ46" i="23"/>
  <c r="CB46" i="23" s="1"/>
  <c r="BZ50" i="23"/>
  <c r="CB50" i="23" s="1"/>
  <c r="BZ51" i="23"/>
  <c r="CB51" i="23" s="1"/>
  <c r="BZ55" i="23"/>
  <c r="CB55" i="23" s="1"/>
  <c r="BZ56" i="23"/>
  <c r="CB56" i="23" s="1"/>
  <c r="BZ57" i="23"/>
  <c r="CB57" i="23" s="1"/>
  <c r="BZ58" i="23"/>
  <c r="CB58" i="23" s="1"/>
  <c r="BZ59" i="23"/>
  <c r="CB59" i="23" s="1"/>
  <c r="BX69" i="23"/>
  <c r="BX68" i="23"/>
  <c r="BX67" i="23"/>
  <c r="BX66" i="23"/>
  <c r="BX65" i="23"/>
  <c r="BX61" i="23"/>
  <c r="BX60" i="23"/>
  <c r="BT69" i="23"/>
  <c r="BT68" i="23"/>
  <c r="BT67" i="23"/>
  <c r="BT66" i="23"/>
  <c r="BT65" i="23"/>
  <c r="BT61" i="23"/>
  <c r="BT60" i="23"/>
  <c r="BP69" i="23"/>
  <c r="BP68" i="23"/>
  <c r="BP67" i="23"/>
  <c r="BP66" i="23"/>
  <c r="BP65" i="23"/>
  <c r="BP61" i="23"/>
  <c r="BP60" i="23"/>
  <c r="BL69" i="23"/>
  <c r="BL68" i="23"/>
  <c r="BL67" i="23"/>
  <c r="BL66" i="23"/>
  <c r="BL65" i="23"/>
  <c r="BL61" i="23"/>
  <c r="BL60" i="23"/>
  <c r="BH69" i="23"/>
  <c r="BH68" i="23"/>
  <c r="BH67" i="23"/>
  <c r="BH66" i="23"/>
  <c r="BH65" i="23"/>
  <c r="BH61" i="23"/>
  <c r="BH60" i="23"/>
  <c r="BD69" i="23"/>
  <c r="BD68" i="23"/>
  <c r="BD67" i="23"/>
  <c r="BD66" i="23"/>
  <c r="BD65" i="23"/>
  <c r="BD61" i="23"/>
  <c r="BD60" i="23"/>
  <c r="AZ69" i="23"/>
  <c r="AZ68" i="23"/>
  <c r="AZ67" i="23"/>
  <c r="AZ66" i="23"/>
  <c r="AZ65" i="23"/>
  <c r="AZ61" i="23"/>
  <c r="AZ60" i="23"/>
  <c r="AV69" i="23"/>
  <c r="AV68" i="23"/>
  <c r="AV67" i="23"/>
  <c r="AV66" i="23"/>
  <c r="AV65" i="23"/>
  <c r="AV61" i="23"/>
  <c r="AV60" i="23"/>
  <c r="AR69" i="23"/>
  <c r="AR68" i="23"/>
  <c r="AR67" i="23"/>
  <c r="AR66" i="23"/>
  <c r="AR65" i="23"/>
  <c r="AR61" i="23"/>
  <c r="AR60" i="23"/>
  <c r="AN69" i="23"/>
  <c r="AN68" i="23"/>
  <c r="AN67" i="23"/>
  <c r="AN66" i="23"/>
  <c r="AN65" i="23"/>
  <c r="AN61" i="23"/>
  <c r="AN60" i="23"/>
  <c r="AJ69" i="23"/>
  <c r="AJ68" i="23"/>
  <c r="AJ67" i="23"/>
  <c r="AJ66" i="23"/>
  <c r="AJ65" i="23"/>
  <c r="AJ61" i="23"/>
  <c r="AJ60" i="23"/>
  <c r="AF69" i="23"/>
  <c r="AF68" i="23"/>
  <c r="AF67" i="23"/>
  <c r="AF66" i="23"/>
  <c r="AF65" i="23"/>
  <c r="AF61" i="23"/>
  <c r="AF60" i="23"/>
  <c r="AB69" i="23"/>
  <c r="AB68" i="23"/>
  <c r="AB67" i="23"/>
  <c r="AB66" i="23"/>
  <c r="AB65" i="23"/>
  <c r="AB61" i="23"/>
  <c r="AB60" i="23"/>
  <c r="X69" i="23"/>
  <c r="X68" i="23"/>
  <c r="X67" i="23"/>
  <c r="X66" i="23"/>
  <c r="X65" i="23"/>
  <c r="X61" i="23"/>
  <c r="X60" i="23"/>
  <c r="T69" i="23"/>
  <c r="T68" i="23"/>
  <c r="T67" i="23"/>
  <c r="T66" i="23"/>
  <c r="T65" i="23"/>
  <c r="T61" i="23"/>
  <c r="T60" i="23"/>
  <c r="P69" i="23"/>
  <c r="P68" i="23"/>
  <c r="P67" i="23"/>
  <c r="P66" i="23"/>
  <c r="P65" i="23"/>
  <c r="P61" i="23"/>
  <c r="P60" i="23"/>
  <c r="L69" i="23"/>
  <c r="L68" i="23"/>
  <c r="L67" i="23"/>
  <c r="L66" i="23"/>
  <c r="L60" i="23"/>
  <c r="H69" i="23"/>
  <c r="H68" i="23"/>
  <c r="H67" i="23"/>
  <c r="H66" i="23"/>
  <c r="H60" i="23"/>
  <c r="L65" i="23"/>
  <c r="H65" i="23"/>
  <c r="CB38" i="23" l="1"/>
  <c r="BZ47" i="23"/>
  <c r="J47" i="23"/>
  <c r="A37" i="22"/>
  <c r="CF59" i="23"/>
  <c r="CF58" i="23"/>
  <c r="CF57" i="23"/>
  <c r="CF56" i="23"/>
  <c r="CF55" i="23"/>
  <c r="CF51" i="23"/>
  <c r="CF50" i="23"/>
  <c r="CF46" i="23"/>
  <c r="CF45" i="23"/>
  <c r="CF44" i="23"/>
  <c r="CF43" i="23"/>
  <c r="CF42" i="23"/>
  <c r="CF41" i="23"/>
  <c r="CF40" i="23"/>
  <c r="CF39" i="23"/>
  <c r="CF38" i="23"/>
  <c r="BV59" i="23"/>
  <c r="BX59" i="23" s="1"/>
  <c r="BV58" i="23"/>
  <c r="BX58" i="23" s="1"/>
  <c r="BV57" i="23"/>
  <c r="BX57" i="23" s="1"/>
  <c r="BV56" i="23"/>
  <c r="BX56" i="23" s="1"/>
  <c r="BV55" i="23"/>
  <c r="BX55" i="23" s="1"/>
  <c r="BV51" i="23"/>
  <c r="BX51" i="23" s="1"/>
  <c r="BV50" i="23"/>
  <c r="BX50" i="23" s="1"/>
  <c r="BV46" i="23"/>
  <c r="BX46" i="23" s="1"/>
  <c r="BV45" i="23"/>
  <c r="BX45" i="23" s="1"/>
  <c r="BV44" i="23"/>
  <c r="BX44" i="23" s="1"/>
  <c r="BV43" i="23"/>
  <c r="BX43" i="23" s="1"/>
  <c r="BV42" i="23"/>
  <c r="BX42" i="23" s="1"/>
  <c r="BV41" i="23"/>
  <c r="BX41" i="23" s="1"/>
  <c r="BV40" i="23"/>
  <c r="BX40" i="23" s="1"/>
  <c r="BV39" i="23"/>
  <c r="BX39" i="23" s="1"/>
  <c r="BV38" i="23"/>
  <c r="BR59" i="23"/>
  <c r="BT59" i="23" s="1"/>
  <c r="BR58" i="23"/>
  <c r="BT58" i="23" s="1"/>
  <c r="BR57" i="23"/>
  <c r="BT57" i="23" s="1"/>
  <c r="BR56" i="23"/>
  <c r="BT56" i="23" s="1"/>
  <c r="BR55" i="23"/>
  <c r="BT55" i="23" s="1"/>
  <c r="BR51" i="23"/>
  <c r="BT51" i="23" s="1"/>
  <c r="BR50" i="23"/>
  <c r="BT50" i="23" s="1"/>
  <c r="BR46" i="23"/>
  <c r="BT46" i="23" s="1"/>
  <c r="BR45" i="23"/>
  <c r="BT45" i="23" s="1"/>
  <c r="BR44" i="23"/>
  <c r="BT44" i="23" s="1"/>
  <c r="BR43" i="23"/>
  <c r="BT43" i="23" s="1"/>
  <c r="BR42" i="23"/>
  <c r="BT42" i="23" s="1"/>
  <c r="BR41" i="23"/>
  <c r="BT41" i="23" s="1"/>
  <c r="BR40" i="23"/>
  <c r="BT40" i="23" s="1"/>
  <c r="BR39" i="23"/>
  <c r="BT39" i="23" s="1"/>
  <c r="BR38" i="23"/>
  <c r="BN59" i="23"/>
  <c r="BP59" i="23" s="1"/>
  <c r="BN58" i="23"/>
  <c r="BP58" i="23" s="1"/>
  <c r="BN57" i="23"/>
  <c r="BP57" i="23" s="1"/>
  <c r="BN56" i="23"/>
  <c r="BP56" i="23" s="1"/>
  <c r="BN55" i="23"/>
  <c r="BP55" i="23" s="1"/>
  <c r="BN51" i="23"/>
  <c r="BP51" i="23" s="1"/>
  <c r="BN50" i="23"/>
  <c r="BP50" i="23" s="1"/>
  <c r="BN46" i="23"/>
  <c r="BP46" i="23" s="1"/>
  <c r="BN45" i="23"/>
  <c r="BP45" i="23" s="1"/>
  <c r="BN44" i="23"/>
  <c r="BP44" i="23" s="1"/>
  <c r="BN43" i="23"/>
  <c r="BP43" i="23" s="1"/>
  <c r="BN42" i="23"/>
  <c r="BP42" i="23" s="1"/>
  <c r="BN41" i="23"/>
  <c r="BP41" i="23" s="1"/>
  <c r="BN40" i="23"/>
  <c r="BP40" i="23" s="1"/>
  <c r="BN39" i="23"/>
  <c r="BP39" i="23" s="1"/>
  <c r="BN38" i="23"/>
  <c r="BJ59" i="23"/>
  <c r="BL59" i="23" s="1"/>
  <c r="BJ58" i="23"/>
  <c r="BL58" i="23" s="1"/>
  <c r="BJ57" i="23"/>
  <c r="BL57" i="23" s="1"/>
  <c r="BJ56" i="23"/>
  <c r="BL56" i="23" s="1"/>
  <c r="BJ55" i="23"/>
  <c r="BL55" i="23" s="1"/>
  <c r="BJ51" i="23"/>
  <c r="BL51" i="23" s="1"/>
  <c r="BJ50" i="23"/>
  <c r="BL50" i="23" s="1"/>
  <c r="BJ46" i="23"/>
  <c r="BL46" i="23" s="1"/>
  <c r="BJ45" i="23"/>
  <c r="BL45" i="23" s="1"/>
  <c r="BJ44" i="23"/>
  <c r="BL44" i="23" s="1"/>
  <c r="BJ43" i="23"/>
  <c r="BL43" i="23" s="1"/>
  <c r="BJ42" i="23"/>
  <c r="BL42" i="23" s="1"/>
  <c r="BJ41" i="23"/>
  <c r="BL41" i="23" s="1"/>
  <c r="BJ40" i="23"/>
  <c r="BL40" i="23" s="1"/>
  <c r="BJ39" i="23"/>
  <c r="BL39" i="23" s="1"/>
  <c r="BJ38" i="23"/>
  <c r="BF59" i="23"/>
  <c r="BH59" i="23" s="1"/>
  <c r="BF58" i="23"/>
  <c r="BH58" i="23" s="1"/>
  <c r="BF57" i="23"/>
  <c r="BH57" i="23" s="1"/>
  <c r="BF56" i="23"/>
  <c r="BH56" i="23" s="1"/>
  <c r="BF55" i="23"/>
  <c r="BH55" i="23" s="1"/>
  <c r="BF51" i="23"/>
  <c r="BH51" i="23" s="1"/>
  <c r="BF50" i="23"/>
  <c r="BH50" i="23" s="1"/>
  <c r="BF46" i="23"/>
  <c r="BH46" i="23" s="1"/>
  <c r="BF45" i="23"/>
  <c r="BH45" i="23" s="1"/>
  <c r="BF44" i="23"/>
  <c r="BH44" i="23" s="1"/>
  <c r="BF43" i="23"/>
  <c r="BH43" i="23" s="1"/>
  <c r="BF42" i="23"/>
  <c r="BH42" i="23" s="1"/>
  <c r="BF41" i="23"/>
  <c r="BH41" i="23" s="1"/>
  <c r="BF40" i="23"/>
  <c r="BH40" i="23" s="1"/>
  <c r="BF39" i="23"/>
  <c r="BH39" i="23" s="1"/>
  <c r="BF38" i="23"/>
  <c r="BB59" i="23"/>
  <c r="BD59" i="23" s="1"/>
  <c r="BB58" i="23"/>
  <c r="BD58" i="23" s="1"/>
  <c r="BB57" i="23"/>
  <c r="BD57" i="23" s="1"/>
  <c r="BB56" i="23"/>
  <c r="BD56" i="23" s="1"/>
  <c r="BB55" i="23"/>
  <c r="BD55" i="23" s="1"/>
  <c r="BB51" i="23"/>
  <c r="BD51" i="23" s="1"/>
  <c r="BB50" i="23"/>
  <c r="BD50" i="23" s="1"/>
  <c r="BB46" i="23"/>
  <c r="BD46" i="23" s="1"/>
  <c r="BB45" i="23"/>
  <c r="BD45" i="23" s="1"/>
  <c r="BB44" i="23"/>
  <c r="BD44" i="23" s="1"/>
  <c r="BB43" i="23"/>
  <c r="BD43" i="23" s="1"/>
  <c r="BB42" i="23"/>
  <c r="BD42" i="23" s="1"/>
  <c r="BB41" i="23"/>
  <c r="BD41" i="23" s="1"/>
  <c r="BB40" i="23"/>
  <c r="BD40" i="23" s="1"/>
  <c r="BB39" i="23"/>
  <c r="BD39" i="23" s="1"/>
  <c r="BB38" i="23"/>
  <c r="AX59" i="23"/>
  <c r="AZ59" i="23" s="1"/>
  <c r="AX58" i="23"/>
  <c r="AZ58" i="23" s="1"/>
  <c r="AX57" i="23"/>
  <c r="AZ57" i="23" s="1"/>
  <c r="AX56" i="23"/>
  <c r="AZ56" i="23" s="1"/>
  <c r="AX55" i="23"/>
  <c r="AZ55" i="23" s="1"/>
  <c r="AX51" i="23"/>
  <c r="AZ51" i="23" s="1"/>
  <c r="AX50" i="23"/>
  <c r="AZ50" i="23" s="1"/>
  <c r="AX46" i="23"/>
  <c r="AZ46" i="23" s="1"/>
  <c r="AX45" i="23"/>
  <c r="AZ45" i="23" s="1"/>
  <c r="AX44" i="23"/>
  <c r="AZ44" i="23" s="1"/>
  <c r="AX43" i="23"/>
  <c r="AZ43" i="23" s="1"/>
  <c r="AX42" i="23"/>
  <c r="AZ42" i="23" s="1"/>
  <c r="AX41" i="23"/>
  <c r="AZ41" i="23" s="1"/>
  <c r="AX40" i="23"/>
  <c r="AZ40" i="23" s="1"/>
  <c r="AX39" i="23"/>
  <c r="AZ39" i="23" s="1"/>
  <c r="AX38" i="23"/>
  <c r="AT59" i="23"/>
  <c r="AV59" i="23" s="1"/>
  <c r="AT58" i="23"/>
  <c r="AV58" i="23" s="1"/>
  <c r="AT57" i="23"/>
  <c r="AV57" i="23" s="1"/>
  <c r="AT56" i="23"/>
  <c r="AV56" i="23" s="1"/>
  <c r="AT55" i="23"/>
  <c r="AV55" i="23" s="1"/>
  <c r="AT51" i="23"/>
  <c r="AV51" i="23" s="1"/>
  <c r="AT50" i="23"/>
  <c r="AV50" i="23" s="1"/>
  <c r="AT46" i="23"/>
  <c r="AV46" i="23" s="1"/>
  <c r="AT45" i="23"/>
  <c r="AV45" i="23" s="1"/>
  <c r="AT44" i="23"/>
  <c r="AV44" i="23" s="1"/>
  <c r="AT43" i="23"/>
  <c r="AV43" i="23" s="1"/>
  <c r="AT42" i="23"/>
  <c r="AV42" i="23" s="1"/>
  <c r="AT41" i="23"/>
  <c r="AV41" i="23" s="1"/>
  <c r="AT40" i="23"/>
  <c r="AV40" i="23" s="1"/>
  <c r="AT39" i="23"/>
  <c r="AV39" i="23" s="1"/>
  <c r="AT38" i="23"/>
  <c r="AP59" i="23"/>
  <c r="AR59" i="23" s="1"/>
  <c r="AP58" i="23"/>
  <c r="AR58" i="23" s="1"/>
  <c r="AP57" i="23"/>
  <c r="AR57" i="23" s="1"/>
  <c r="AP56" i="23"/>
  <c r="AR56" i="23" s="1"/>
  <c r="AP55" i="23"/>
  <c r="AR55" i="23" s="1"/>
  <c r="AP51" i="23"/>
  <c r="AR51" i="23" s="1"/>
  <c r="AP50" i="23"/>
  <c r="AR50" i="23" s="1"/>
  <c r="AP46" i="23"/>
  <c r="AR46" i="23" s="1"/>
  <c r="AP45" i="23"/>
  <c r="AR45" i="23" s="1"/>
  <c r="AP44" i="23"/>
  <c r="AR44" i="23" s="1"/>
  <c r="AP43" i="23"/>
  <c r="AR43" i="23" s="1"/>
  <c r="AP42" i="23"/>
  <c r="AR42" i="23" s="1"/>
  <c r="AP41" i="23"/>
  <c r="AR41" i="23" s="1"/>
  <c r="AP40" i="23"/>
  <c r="AR40" i="23" s="1"/>
  <c r="AP39" i="23"/>
  <c r="AR39" i="23" s="1"/>
  <c r="AP38" i="23"/>
  <c r="AL59" i="23"/>
  <c r="AN59" i="23" s="1"/>
  <c r="AL58" i="23"/>
  <c r="AN58" i="23" s="1"/>
  <c r="AL57" i="23"/>
  <c r="AN57" i="23" s="1"/>
  <c r="AL56" i="23"/>
  <c r="AN56" i="23" s="1"/>
  <c r="AL55" i="23"/>
  <c r="AN55" i="23" s="1"/>
  <c r="AL51" i="23"/>
  <c r="AN51" i="23" s="1"/>
  <c r="AL50" i="23"/>
  <c r="AN50" i="23" s="1"/>
  <c r="AL46" i="23"/>
  <c r="AN46" i="23" s="1"/>
  <c r="AL45" i="23"/>
  <c r="AN45" i="23" s="1"/>
  <c r="AL44" i="23"/>
  <c r="AN44" i="23" s="1"/>
  <c r="AL43" i="23"/>
  <c r="AN43" i="23" s="1"/>
  <c r="AL42" i="23"/>
  <c r="AN42" i="23" s="1"/>
  <c r="AL41" i="23"/>
  <c r="AN41" i="23" s="1"/>
  <c r="AL40" i="23"/>
  <c r="AN40" i="23" s="1"/>
  <c r="AL39" i="23"/>
  <c r="AN39" i="23" s="1"/>
  <c r="AL38" i="23"/>
  <c r="AH59" i="23"/>
  <c r="AJ59" i="23" s="1"/>
  <c r="AH58" i="23"/>
  <c r="AJ58" i="23" s="1"/>
  <c r="AH57" i="23"/>
  <c r="AJ57" i="23" s="1"/>
  <c r="AH56" i="23"/>
  <c r="AJ56" i="23" s="1"/>
  <c r="AH55" i="23"/>
  <c r="AJ55" i="23" s="1"/>
  <c r="AH51" i="23"/>
  <c r="AJ51" i="23" s="1"/>
  <c r="AH50" i="23"/>
  <c r="AJ50" i="23" s="1"/>
  <c r="AH46" i="23"/>
  <c r="AJ46" i="23" s="1"/>
  <c r="AH45" i="23"/>
  <c r="AJ45" i="23" s="1"/>
  <c r="AH44" i="23"/>
  <c r="AJ44" i="23" s="1"/>
  <c r="AH43" i="23"/>
  <c r="AJ43" i="23" s="1"/>
  <c r="AH42" i="23"/>
  <c r="AJ42" i="23" s="1"/>
  <c r="AH41" i="23"/>
  <c r="AJ41" i="23" s="1"/>
  <c r="AH40" i="23"/>
  <c r="AJ40" i="23" s="1"/>
  <c r="AH39" i="23"/>
  <c r="AJ39" i="23" s="1"/>
  <c r="AH38" i="23"/>
  <c r="AD59" i="23"/>
  <c r="AF59" i="23" s="1"/>
  <c r="AD58" i="23"/>
  <c r="AF58" i="23" s="1"/>
  <c r="AD57" i="23"/>
  <c r="AF57" i="23" s="1"/>
  <c r="AD56" i="23"/>
  <c r="AF56" i="23" s="1"/>
  <c r="AD55" i="23"/>
  <c r="AF55" i="23" s="1"/>
  <c r="AD51" i="23"/>
  <c r="AF51" i="23" s="1"/>
  <c r="AD50" i="23"/>
  <c r="AF50" i="23" s="1"/>
  <c r="AD46" i="23"/>
  <c r="AF46" i="23" s="1"/>
  <c r="AD45" i="23"/>
  <c r="AF45" i="23" s="1"/>
  <c r="AD44" i="23"/>
  <c r="AF44" i="23" s="1"/>
  <c r="AD43" i="23"/>
  <c r="AF43" i="23" s="1"/>
  <c r="AD42" i="23"/>
  <c r="AF42" i="23" s="1"/>
  <c r="AD41" i="23"/>
  <c r="AF41" i="23" s="1"/>
  <c r="AD40" i="23"/>
  <c r="AF40" i="23" s="1"/>
  <c r="AD39" i="23"/>
  <c r="AF39" i="23" s="1"/>
  <c r="AD38" i="23"/>
  <c r="Z59" i="23"/>
  <c r="AB59" i="23" s="1"/>
  <c r="Z58" i="23"/>
  <c r="AB58" i="23" s="1"/>
  <c r="Z57" i="23"/>
  <c r="AB57" i="23" s="1"/>
  <c r="Z56" i="23"/>
  <c r="AB56" i="23" s="1"/>
  <c r="Z55" i="23"/>
  <c r="AB55" i="23" s="1"/>
  <c r="Z51" i="23"/>
  <c r="AB51" i="23" s="1"/>
  <c r="Z50" i="23"/>
  <c r="AB50" i="23" s="1"/>
  <c r="Z46" i="23"/>
  <c r="AB46" i="23" s="1"/>
  <c r="Z45" i="23"/>
  <c r="AB45" i="23" s="1"/>
  <c r="Z44" i="23"/>
  <c r="AB44" i="23" s="1"/>
  <c r="Z43" i="23"/>
  <c r="AB43" i="23" s="1"/>
  <c r="Z42" i="23"/>
  <c r="AB42" i="23" s="1"/>
  <c r="Z41" i="23"/>
  <c r="AB41" i="23" s="1"/>
  <c r="Z40" i="23"/>
  <c r="AB40" i="23" s="1"/>
  <c r="Z39" i="23"/>
  <c r="AB39" i="23" s="1"/>
  <c r="V59" i="23"/>
  <c r="X59" i="23" s="1"/>
  <c r="V58" i="23"/>
  <c r="X58" i="23" s="1"/>
  <c r="V57" i="23"/>
  <c r="X57" i="23" s="1"/>
  <c r="V56" i="23"/>
  <c r="X56" i="23" s="1"/>
  <c r="V55" i="23"/>
  <c r="X55" i="23" s="1"/>
  <c r="V51" i="23"/>
  <c r="X51" i="23" s="1"/>
  <c r="V50" i="23"/>
  <c r="X50" i="23" s="1"/>
  <c r="V46" i="23"/>
  <c r="X46" i="23" s="1"/>
  <c r="V45" i="23"/>
  <c r="X45" i="23" s="1"/>
  <c r="V44" i="23"/>
  <c r="X44" i="23" s="1"/>
  <c r="V43" i="23"/>
  <c r="X43" i="23" s="1"/>
  <c r="V42" i="23"/>
  <c r="X42" i="23" s="1"/>
  <c r="V41" i="23"/>
  <c r="X41" i="23" s="1"/>
  <c r="V40" i="23"/>
  <c r="X40" i="23" s="1"/>
  <c r="V39" i="23"/>
  <c r="X39" i="23" s="1"/>
  <c r="V38" i="23"/>
  <c r="T59" i="23"/>
  <c r="T58" i="23"/>
  <c r="T57" i="23"/>
  <c r="T56" i="23"/>
  <c r="T55" i="23"/>
  <c r="T51" i="23"/>
  <c r="T50" i="23"/>
  <c r="T46" i="23"/>
  <c r="T45" i="23"/>
  <c r="T44" i="23"/>
  <c r="T43" i="23"/>
  <c r="T42" i="23"/>
  <c r="T41" i="23"/>
  <c r="T40" i="23"/>
  <c r="T39" i="23"/>
  <c r="T38" i="23"/>
  <c r="Z38" i="23"/>
  <c r="P59" i="23"/>
  <c r="P58" i="23"/>
  <c r="P57" i="23"/>
  <c r="P56" i="23"/>
  <c r="P55" i="23"/>
  <c r="P51" i="23"/>
  <c r="P50" i="23"/>
  <c r="P46" i="23"/>
  <c r="P45" i="23"/>
  <c r="P44" i="23"/>
  <c r="P43" i="23"/>
  <c r="P42" i="23"/>
  <c r="P41" i="23"/>
  <c r="P40" i="23"/>
  <c r="P39" i="23"/>
  <c r="P38" i="23"/>
  <c r="L59" i="23"/>
  <c r="L51" i="23"/>
  <c r="L50" i="23"/>
  <c r="L46" i="23"/>
  <c r="H59" i="23"/>
  <c r="H51" i="23"/>
  <c r="H46" i="23"/>
  <c r="AB38" i="23" l="1"/>
  <c r="Z47" i="23"/>
  <c r="AZ38" i="23"/>
  <c r="AX47" i="23"/>
  <c r="AF38" i="23"/>
  <c r="AD47" i="23"/>
  <c r="AJ38" i="23"/>
  <c r="AH47" i="23"/>
  <c r="AN38" i="23"/>
  <c r="AL47" i="23"/>
  <c r="AR38" i="23"/>
  <c r="AP47" i="23"/>
  <c r="AV38" i="23"/>
  <c r="AT47" i="23"/>
  <c r="BD38" i="23"/>
  <c r="BB47" i="23"/>
  <c r="BH38" i="23"/>
  <c r="BF47" i="23"/>
  <c r="BL38" i="23"/>
  <c r="BJ47" i="23"/>
  <c r="BP38" i="23"/>
  <c r="BN47" i="23"/>
  <c r="BT38" i="23"/>
  <c r="BR47" i="23"/>
  <c r="BX38" i="23"/>
  <c r="BV47" i="23"/>
  <c r="X38" i="23"/>
  <c r="V47" i="23"/>
  <c r="B7" i="19"/>
  <c r="B8" i="19"/>
  <c r="D30" i="24"/>
  <c r="EQ5" i="22"/>
  <c r="EA5" i="22"/>
  <c r="DK5" i="22"/>
  <c r="CU5" i="22"/>
  <c r="CE5" i="22"/>
  <c r="BO5" i="22"/>
  <c r="AY5" i="22"/>
  <c r="AI5" i="22"/>
  <c r="EY5" i="22"/>
  <c r="EI5" i="22"/>
  <c r="DS5" i="22"/>
  <c r="CM5" i="22"/>
  <c r="BW5" i="22"/>
  <c r="BG5" i="22"/>
  <c r="AQ5" i="22"/>
  <c r="S5" i="22"/>
  <c r="AA5" i="22"/>
  <c r="K5" i="22"/>
  <c r="B10" i="19" l="1"/>
  <c r="B91" i="19"/>
  <c r="E71" i="19"/>
  <c r="O71" i="19"/>
  <c r="B9" i="19"/>
  <c r="B97" i="19"/>
  <c r="H72" i="19"/>
  <c r="E72" i="19"/>
  <c r="B88" i="19"/>
  <c r="B77" i="19"/>
  <c r="B71" i="19"/>
  <c r="M71" i="19"/>
  <c r="B94" i="19"/>
  <c r="J71" i="19"/>
  <c r="H71" i="19"/>
  <c r="J72" i="19"/>
  <c r="BJ20" i="22"/>
  <c r="BG7" i="22"/>
  <c r="BG6" i="22"/>
  <c r="EI7" i="22"/>
  <c r="EI6" i="22"/>
  <c r="BO7" i="22"/>
  <c r="BO6" i="22"/>
  <c r="EA7" i="22"/>
  <c r="EA6" i="22"/>
  <c r="K7" i="22"/>
  <c r="K6" i="22"/>
  <c r="BW7" i="22"/>
  <c r="BW6" i="22"/>
  <c r="FE10" i="22"/>
  <c r="EY7" i="22"/>
  <c r="EY6" i="22"/>
  <c r="CE7" i="22"/>
  <c r="CE6" i="22"/>
  <c r="EQ7" i="22"/>
  <c r="EQ6" i="22"/>
  <c r="AA7" i="22"/>
  <c r="AA6" i="22"/>
  <c r="CM7" i="22"/>
  <c r="CM6" i="22"/>
  <c r="AI7" i="22"/>
  <c r="AI6" i="22"/>
  <c r="CU7" i="22"/>
  <c r="CU6" i="22"/>
  <c r="V20" i="22"/>
  <c r="S7" i="22"/>
  <c r="S6" i="22"/>
  <c r="AW20" i="22"/>
  <c r="AQ7" i="22"/>
  <c r="AQ6" i="22"/>
  <c r="DS7" i="22"/>
  <c r="DS6" i="22"/>
  <c r="AY7" i="22"/>
  <c r="AY6" i="22"/>
  <c r="DK7" i="22"/>
  <c r="DK6" i="22"/>
  <c r="EW10" i="22"/>
  <c r="EU15" i="22"/>
  <c r="EU18" i="22"/>
  <c r="EW20" i="22"/>
  <c r="DQ10" i="22"/>
  <c r="EV11" i="22"/>
  <c r="ET16" i="22"/>
  <c r="ER19" i="22"/>
  <c r="ET21" i="22"/>
  <c r="ET9" i="22"/>
  <c r="EW12" i="22"/>
  <c r="ET17" i="22"/>
  <c r="EV19" i="22"/>
  <c r="ED9" i="22"/>
  <c r="ES10" i="22"/>
  <c r="EQ15" i="22"/>
  <c r="EQ18" i="22"/>
  <c r="ES20" i="22"/>
  <c r="DA12" i="22"/>
  <c r="DQ12" i="22"/>
  <c r="EG10" i="22"/>
  <c r="EQ9" i="22"/>
  <c r="EU9" i="22"/>
  <c r="ET10" i="22"/>
  <c r="ES11" i="22"/>
  <c r="EW11" i="22"/>
  <c r="ET13" i="22"/>
  <c r="ER15" i="22"/>
  <c r="ET14" i="22"/>
  <c r="EV16" i="22"/>
  <c r="EU17" i="22"/>
  <c r="ER18" i="22"/>
  <c r="EV18" i="22"/>
  <c r="ES19" i="22"/>
  <c r="EW19" i="22"/>
  <c r="ET20" i="22"/>
  <c r="EQ21" i="22"/>
  <c r="EU21" i="22"/>
  <c r="CZ19" i="22"/>
  <c r="DP19" i="22"/>
  <c r="EG12" i="22"/>
  <c r="ER9" i="22"/>
  <c r="EV9" i="22"/>
  <c r="EU10" i="22"/>
  <c r="ET11" i="22"/>
  <c r="ET12" i="22"/>
  <c r="EV13" i="22"/>
  <c r="ES15" i="22"/>
  <c r="EV14" i="22"/>
  <c r="EW16" i="22"/>
  <c r="EV17" i="22"/>
  <c r="ES18" i="22"/>
  <c r="EW18" i="22"/>
  <c r="ET19" i="22"/>
  <c r="EQ20" i="22"/>
  <c r="EU20" i="22"/>
  <c r="ER21" i="22"/>
  <c r="EV21" i="22"/>
  <c r="ES9" i="22"/>
  <c r="EW9" i="22"/>
  <c r="EV10" i="22"/>
  <c r="EU11" i="22"/>
  <c r="EV12" i="22"/>
  <c r="EW13" i="22"/>
  <c r="ET15" i="22"/>
  <c r="EW14" i="22"/>
  <c r="ES17" i="22"/>
  <c r="EW17" i="22"/>
  <c r="ET18" i="22"/>
  <c r="EQ19" i="22"/>
  <c r="EU19" i="22"/>
  <c r="ER20" i="22"/>
  <c r="EV20" i="22"/>
  <c r="ES21" i="22"/>
  <c r="EW21" i="22"/>
  <c r="DN17" i="22"/>
  <c r="EC10" i="22"/>
  <c r="EF11" i="22"/>
  <c r="EA15" i="22"/>
  <c r="EE9" i="22"/>
  <c r="EC11" i="22"/>
  <c r="ED13" i="22"/>
  <c r="CW10" i="22"/>
  <c r="DN9" i="22"/>
  <c r="DO18" i="22"/>
  <c r="EA9" i="22"/>
  <c r="ED10" i="22"/>
  <c r="EG11" i="22"/>
  <c r="EB15" i="22"/>
  <c r="EE15" i="22"/>
  <c r="ED16" i="22"/>
  <c r="ED17" i="22"/>
  <c r="EA18" i="22"/>
  <c r="EE18" i="22"/>
  <c r="EB19" i="22"/>
  <c r="EF19" i="22"/>
  <c r="EC20" i="22"/>
  <c r="EG20" i="22"/>
  <c r="ED21" i="22"/>
  <c r="ED14" i="22"/>
  <c r="EF16" i="22"/>
  <c r="EE17" i="22"/>
  <c r="EB18" i="22"/>
  <c r="EF18" i="22"/>
  <c r="EC19" i="22"/>
  <c r="EG19" i="22"/>
  <c r="ED20" i="22"/>
  <c r="EA21" i="22"/>
  <c r="EE21" i="22"/>
  <c r="DO15" i="22"/>
  <c r="DQ20" i="22"/>
  <c r="EB9" i="22"/>
  <c r="EF9" i="22"/>
  <c r="EE10" i="22"/>
  <c r="ED11" i="22"/>
  <c r="ED12" i="22"/>
  <c r="EF13" i="22"/>
  <c r="EC15" i="22"/>
  <c r="EF14" i="22"/>
  <c r="EG16" i="22"/>
  <c r="EF17" i="22"/>
  <c r="EC18" i="22"/>
  <c r="EG18" i="22"/>
  <c r="ED19" i="22"/>
  <c r="EA20" i="22"/>
  <c r="EE20" i="22"/>
  <c r="EB21" i="22"/>
  <c r="EF21" i="22"/>
  <c r="EC9" i="22"/>
  <c r="EG9" i="22"/>
  <c r="EF10" i="22"/>
  <c r="EE11" i="22"/>
  <c r="EF12" i="22"/>
  <c r="EG13" i="22"/>
  <c r="ED15" i="22"/>
  <c r="EG14" i="22"/>
  <c r="EC17" i="22"/>
  <c r="EG17" i="22"/>
  <c r="ED18" i="22"/>
  <c r="EA19" i="22"/>
  <c r="EE19" i="22"/>
  <c r="EB20" i="22"/>
  <c r="EF20" i="22"/>
  <c r="EC21" i="22"/>
  <c r="EG21" i="22"/>
  <c r="CX17" i="22"/>
  <c r="DM10" i="22"/>
  <c r="DP11" i="22"/>
  <c r="DK15" i="22"/>
  <c r="DN16" i="22"/>
  <c r="DK18" i="22"/>
  <c r="DL19" i="22"/>
  <c r="DM20" i="22"/>
  <c r="DN21" i="22"/>
  <c r="DO9" i="22"/>
  <c r="DM11" i="22"/>
  <c r="DN13" i="22"/>
  <c r="DN14" i="22"/>
  <c r="DO17" i="22"/>
  <c r="DP18" i="22"/>
  <c r="DQ19" i="22"/>
  <c r="DK21" i="22"/>
  <c r="CX9" i="22"/>
  <c r="CU18" i="22"/>
  <c r="DK9" i="22"/>
  <c r="DN10" i="22"/>
  <c r="DQ11" i="22"/>
  <c r="DL15" i="22"/>
  <c r="DP16" i="22"/>
  <c r="DL18" i="22"/>
  <c r="DM19" i="22"/>
  <c r="DN20" i="22"/>
  <c r="DO21" i="22"/>
  <c r="CU15" i="22"/>
  <c r="CW20" i="22"/>
  <c r="DL9" i="22"/>
  <c r="DP9" i="22"/>
  <c r="DO10" i="22"/>
  <c r="DN11" i="22"/>
  <c r="DN12" i="22"/>
  <c r="DP13" i="22"/>
  <c r="DM15" i="22"/>
  <c r="DP14" i="22"/>
  <c r="DQ16" i="22"/>
  <c r="DP17" i="22"/>
  <c r="DM18" i="22"/>
  <c r="DQ18" i="22"/>
  <c r="DN19" i="22"/>
  <c r="DK20" i="22"/>
  <c r="DO20" i="22"/>
  <c r="DL21" i="22"/>
  <c r="DP21" i="22"/>
  <c r="DM9" i="22"/>
  <c r="DQ9" i="22"/>
  <c r="DP10" i="22"/>
  <c r="DO11" i="22"/>
  <c r="DP12" i="22"/>
  <c r="DQ13" i="22"/>
  <c r="DN15" i="22"/>
  <c r="DQ14" i="22"/>
  <c r="DM17" i="22"/>
  <c r="DQ17" i="22"/>
  <c r="DN18" i="22"/>
  <c r="DK19" i="22"/>
  <c r="DO19" i="22"/>
  <c r="DL20" i="22"/>
  <c r="DP20" i="22"/>
  <c r="DM21" i="22"/>
  <c r="DQ21" i="22"/>
  <c r="DA10" i="22"/>
  <c r="CY15" i="22"/>
  <c r="CY18" i="22"/>
  <c r="DA20" i="22"/>
  <c r="CZ11" i="22"/>
  <c r="CX16" i="22"/>
  <c r="CV19" i="22"/>
  <c r="CX21" i="22"/>
  <c r="CU9" i="22"/>
  <c r="CY9" i="22"/>
  <c r="CX10" i="22"/>
  <c r="CW11" i="22"/>
  <c r="DA11" i="22"/>
  <c r="CX13" i="22"/>
  <c r="CV15" i="22"/>
  <c r="CX14" i="22"/>
  <c r="CZ16" i="22"/>
  <c r="CY17" i="22"/>
  <c r="CV18" i="22"/>
  <c r="CZ18" i="22"/>
  <c r="CW19" i="22"/>
  <c r="DA19" i="22"/>
  <c r="CX20" i="22"/>
  <c r="CU21" i="22"/>
  <c r="CY21" i="22"/>
  <c r="CV9" i="22"/>
  <c r="CZ9" i="22"/>
  <c r="CY10" i="22"/>
  <c r="CX11" i="22"/>
  <c r="CX12" i="22"/>
  <c r="CZ13" i="22"/>
  <c r="CW15" i="22"/>
  <c r="CZ14" i="22"/>
  <c r="DA16" i="22"/>
  <c r="CZ17" i="22"/>
  <c r="CW18" i="22"/>
  <c r="DA18" i="22"/>
  <c r="CX19" i="22"/>
  <c r="CU20" i="22"/>
  <c r="CY20" i="22"/>
  <c r="CV21" i="22"/>
  <c r="CZ21" i="22"/>
  <c r="CW9" i="22"/>
  <c r="DA9" i="22"/>
  <c r="CZ10" i="22"/>
  <c r="CY11" i="22"/>
  <c r="CZ12" i="22"/>
  <c r="DA13" i="22"/>
  <c r="CX15" i="22"/>
  <c r="DA14" i="22"/>
  <c r="CW17" i="22"/>
  <c r="DA17" i="22"/>
  <c r="CX18" i="22"/>
  <c r="CU19" i="22"/>
  <c r="CY19" i="22"/>
  <c r="CV20" i="22"/>
  <c r="CZ20" i="22"/>
  <c r="CW21" i="22"/>
  <c r="DA21" i="22"/>
  <c r="BU10" i="22"/>
  <c r="BS18" i="22"/>
  <c r="BU12" i="22"/>
  <c r="BT19" i="22"/>
  <c r="BS15" i="22"/>
  <c r="BU20" i="22"/>
  <c r="BR9" i="22"/>
  <c r="BR17" i="22"/>
  <c r="BQ11" i="22"/>
  <c r="BQ10" i="22"/>
  <c r="BT11" i="22"/>
  <c r="BO15" i="22"/>
  <c r="BR16" i="22"/>
  <c r="BO18" i="22"/>
  <c r="BP19" i="22"/>
  <c r="BQ20" i="22"/>
  <c r="BR21" i="22"/>
  <c r="BS9" i="22"/>
  <c r="BR13" i="22"/>
  <c r="BR14" i="22"/>
  <c r="BS17" i="22"/>
  <c r="BT18" i="22"/>
  <c r="BU19" i="22"/>
  <c r="BO21" i="22"/>
  <c r="BO9" i="22"/>
  <c r="BR10" i="22"/>
  <c r="BU11" i="22"/>
  <c r="BP15" i="22"/>
  <c r="BT16" i="22"/>
  <c r="BP18" i="22"/>
  <c r="BQ19" i="22"/>
  <c r="BR20" i="22"/>
  <c r="BS21" i="22"/>
  <c r="DU10" i="22"/>
  <c r="BP9" i="22"/>
  <c r="BT9" i="22"/>
  <c r="BS10" i="22"/>
  <c r="BR11" i="22"/>
  <c r="BR12" i="22"/>
  <c r="BT13" i="22"/>
  <c r="BQ15" i="22"/>
  <c r="BT14" i="22"/>
  <c r="BU16" i="22"/>
  <c r="BT17" i="22"/>
  <c r="BQ18" i="22"/>
  <c r="BU18" i="22"/>
  <c r="BR19" i="22"/>
  <c r="BO20" i="22"/>
  <c r="BS20" i="22"/>
  <c r="BP21" i="22"/>
  <c r="BT21" i="22"/>
  <c r="BQ9" i="22"/>
  <c r="BU9" i="22"/>
  <c r="BT10" i="22"/>
  <c r="BS11" i="22"/>
  <c r="BT12" i="22"/>
  <c r="BU13" i="22"/>
  <c r="BR15" i="22"/>
  <c r="BU14" i="22"/>
  <c r="BQ17" i="22"/>
  <c r="BU17" i="22"/>
  <c r="BR18" i="22"/>
  <c r="BO19" i="22"/>
  <c r="BS19" i="22"/>
  <c r="BP20" i="22"/>
  <c r="BT20" i="22"/>
  <c r="BQ21" i="22"/>
  <c r="BU21" i="22"/>
  <c r="AQ20" i="22"/>
  <c r="DS18" i="22"/>
  <c r="AS20" i="22"/>
  <c r="DG17" i="22"/>
  <c r="EO12" i="22"/>
  <c r="EN19" i="22"/>
  <c r="DF13" i="22"/>
  <c r="DE18" i="22"/>
  <c r="DF21" i="22"/>
  <c r="DX11" i="22"/>
  <c r="DT19" i="22"/>
  <c r="EL16" i="22"/>
  <c r="EL21" i="22"/>
  <c r="DG9" i="22"/>
  <c r="DE15" i="22"/>
  <c r="DD19" i="22"/>
  <c r="DS15" i="22"/>
  <c r="DU20" i="22"/>
  <c r="EL9" i="22"/>
  <c r="EL17" i="22"/>
  <c r="DH11" i="22"/>
  <c r="DG20" i="22"/>
  <c r="DG10" i="22"/>
  <c r="DF16" i="22"/>
  <c r="DI19" i="22"/>
  <c r="DV16" i="22"/>
  <c r="DV21" i="22"/>
  <c r="EN11" i="22"/>
  <c r="EJ19" i="22"/>
  <c r="AT20" i="22"/>
  <c r="DC9" i="22"/>
  <c r="DH9" i="22"/>
  <c r="DI10" i="22"/>
  <c r="DI11" i="22"/>
  <c r="DH13" i="22"/>
  <c r="DG15" i="22"/>
  <c r="DH16" i="22"/>
  <c r="DH17" i="22"/>
  <c r="DG18" i="22"/>
  <c r="DE19" i="22"/>
  <c r="DC20" i="22"/>
  <c r="DI20" i="22"/>
  <c r="DG21" i="22"/>
  <c r="DS9" i="22"/>
  <c r="DV10" i="22"/>
  <c r="DY11" i="22"/>
  <c r="DT15" i="22"/>
  <c r="DX16" i="22"/>
  <c r="DT18" i="22"/>
  <c r="DU19" i="22"/>
  <c r="DV20" i="22"/>
  <c r="DW21" i="22"/>
  <c r="EK10" i="22"/>
  <c r="EI15" i="22"/>
  <c r="EI18" i="22"/>
  <c r="EK20" i="22"/>
  <c r="FA10" i="22"/>
  <c r="DD9" i="22"/>
  <c r="DE10" i="22"/>
  <c r="DE11" i="22"/>
  <c r="DF12" i="22"/>
  <c r="DC15" i="22"/>
  <c r="DF14" i="22"/>
  <c r="DI16" i="22"/>
  <c r="DC18" i="22"/>
  <c r="DH18" i="22"/>
  <c r="DF19" i="22"/>
  <c r="DE20" i="22"/>
  <c r="DC21" i="22"/>
  <c r="DH21" i="22"/>
  <c r="DV9" i="22"/>
  <c r="DY10" i="22"/>
  <c r="DY12" i="22"/>
  <c r="DW15" i="22"/>
  <c r="DV17" i="22"/>
  <c r="DW18" i="22"/>
  <c r="DX19" i="22"/>
  <c r="DY20" i="22"/>
  <c r="EO10" i="22"/>
  <c r="EM15" i="22"/>
  <c r="EM18" i="22"/>
  <c r="EO20" i="22"/>
  <c r="DF9" i="22"/>
  <c r="DF10" i="22"/>
  <c r="DF11" i="22"/>
  <c r="DI12" i="22"/>
  <c r="DD15" i="22"/>
  <c r="DH14" i="22"/>
  <c r="DF17" i="22"/>
  <c r="DD18" i="22"/>
  <c r="DI18" i="22"/>
  <c r="DH19" i="22"/>
  <c r="DF20" i="22"/>
  <c r="DD21" i="22"/>
  <c r="DW9" i="22"/>
  <c r="DU11" i="22"/>
  <c r="DV13" i="22"/>
  <c r="DV14" i="22"/>
  <c r="DW17" i="22"/>
  <c r="DX18" i="22"/>
  <c r="DY19" i="22"/>
  <c r="DS21" i="22"/>
  <c r="X20" i="22"/>
  <c r="T20" i="22"/>
  <c r="W20" i="22"/>
  <c r="BL20" i="22"/>
  <c r="BH20" i="22"/>
  <c r="BK20" i="22"/>
  <c r="S20" i="22"/>
  <c r="Y20" i="22"/>
  <c r="BG20" i="22"/>
  <c r="BM20" i="22"/>
  <c r="FE21" i="22"/>
  <c r="FA21" i="22"/>
  <c r="FD20" i="22"/>
  <c r="EZ20" i="22"/>
  <c r="FC19" i="22"/>
  <c r="EY19" i="22"/>
  <c r="FB18" i="22"/>
  <c r="FE17" i="22"/>
  <c r="FA17" i="22"/>
  <c r="FE14" i="22"/>
  <c r="FB15" i="22"/>
  <c r="FE13" i="22"/>
  <c r="FD12" i="22"/>
  <c r="FC11" i="22"/>
  <c r="FD10" i="22"/>
  <c r="FE9" i="22"/>
  <c r="FA9" i="22"/>
  <c r="FD21" i="22"/>
  <c r="EZ21" i="22"/>
  <c r="FC20" i="22"/>
  <c r="EY20" i="22"/>
  <c r="FB19" i="22"/>
  <c r="FE18" i="22"/>
  <c r="FA18" i="22"/>
  <c r="FD17" i="22"/>
  <c r="FE16" i="22"/>
  <c r="FD14" i="22"/>
  <c r="FA15" i="22"/>
  <c r="FD13" i="22"/>
  <c r="FB12" i="22"/>
  <c r="FB11" i="22"/>
  <c r="FC10" i="22"/>
  <c r="FD9" i="22"/>
  <c r="EZ9" i="22"/>
  <c r="FC21" i="22"/>
  <c r="EY21" i="22"/>
  <c r="FB20" i="22"/>
  <c r="FE19" i="22"/>
  <c r="FA19" i="22"/>
  <c r="FD18" i="22"/>
  <c r="EZ18" i="22"/>
  <c r="FC17" i="22"/>
  <c r="FD16" i="22"/>
  <c r="FB14" i="22"/>
  <c r="EZ15" i="22"/>
  <c r="FB13" i="22"/>
  <c r="FE11" i="22"/>
  <c r="FA11" i="22"/>
  <c r="FB10" i="22"/>
  <c r="FC9" i="22"/>
  <c r="EY9" i="22"/>
  <c r="FB21" i="22"/>
  <c r="FE20" i="22"/>
  <c r="FA20" i="22"/>
  <c r="FD19" i="22"/>
  <c r="EZ19" i="22"/>
  <c r="FC18" i="22"/>
  <c r="EY18" i="22"/>
  <c r="FB17" i="22"/>
  <c r="FB16" i="22"/>
  <c r="FC15" i="22"/>
  <c r="EY15" i="22"/>
  <c r="FD11" i="22"/>
  <c r="U20" i="22"/>
  <c r="AV20" i="22"/>
  <c r="AR20" i="22"/>
  <c r="AU20" i="22"/>
  <c r="BI20" i="22"/>
  <c r="FB9" i="22"/>
  <c r="FE12" i="22"/>
  <c r="DE9" i="22"/>
  <c r="DI9" i="22"/>
  <c r="DH10" i="22"/>
  <c r="DG11" i="22"/>
  <c r="DH12" i="22"/>
  <c r="DI13" i="22"/>
  <c r="DF15" i="22"/>
  <c r="DI14" i="22"/>
  <c r="DE17" i="22"/>
  <c r="DI17" i="22"/>
  <c r="DF18" i="22"/>
  <c r="DC19" i="22"/>
  <c r="DG19" i="22"/>
  <c r="DD20" i="22"/>
  <c r="DH20" i="22"/>
  <c r="DE21" i="22"/>
  <c r="DI21" i="22"/>
  <c r="DT9" i="22"/>
  <c r="DX9" i="22"/>
  <c r="DW10" i="22"/>
  <c r="DV11" i="22"/>
  <c r="DV12" i="22"/>
  <c r="DX13" i="22"/>
  <c r="DU15" i="22"/>
  <c r="DX14" i="22"/>
  <c r="DY16" i="22"/>
  <c r="DX17" i="22"/>
  <c r="DU18" i="22"/>
  <c r="DY18" i="22"/>
  <c r="DV19" i="22"/>
  <c r="DS20" i="22"/>
  <c r="DW20" i="22"/>
  <c r="DT21" i="22"/>
  <c r="DX21" i="22"/>
  <c r="EI9" i="22"/>
  <c r="EM9" i="22"/>
  <c r="EL10" i="22"/>
  <c r="EK11" i="22"/>
  <c r="EO11" i="22"/>
  <c r="EL13" i="22"/>
  <c r="EJ15" i="22"/>
  <c r="EL14" i="22"/>
  <c r="EN16" i="22"/>
  <c r="EM17" i="22"/>
  <c r="EJ18" i="22"/>
  <c r="EN18" i="22"/>
  <c r="EK19" i="22"/>
  <c r="EO19" i="22"/>
  <c r="EL20" i="22"/>
  <c r="EI21" i="22"/>
  <c r="EM21" i="22"/>
  <c r="DU9" i="22"/>
  <c r="DY9" i="22"/>
  <c r="DX10" i="22"/>
  <c r="DW11" i="22"/>
  <c r="DX12" i="22"/>
  <c r="DY13" i="22"/>
  <c r="DV15" i="22"/>
  <c r="DY14" i="22"/>
  <c r="DU17" i="22"/>
  <c r="DY17" i="22"/>
  <c r="DV18" i="22"/>
  <c r="DS19" i="22"/>
  <c r="DW19" i="22"/>
  <c r="DT20" i="22"/>
  <c r="DX20" i="22"/>
  <c r="DU21" i="22"/>
  <c r="DY21" i="22"/>
  <c r="EJ9" i="22"/>
  <c r="EN9" i="22"/>
  <c r="EM10" i="22"/>
  <c r="EL11" i="22"/>
  <c r="EL12" i="22"/>
  <c r="EN13" i="22"/>
  <c r="EK15" i="22"/>
  <c r="EN14" i="22"/>
  <c r="EO16" i="22"/>
  <c r="EN17" i="22"/>
  <c r="EK18" i="22"/>
  <c r="EO18" i="22"/>
  <c r="EL19" i="22"/>
  <c r="EI20" i="22"/>
  <c r="EM20" i="22"/>
  <c r="EJ21" i="22"/>
  <c r="EN21" i="22"/>
  <c r="EK9" i="22"/>
  <c r="EO9" i="22"/>
  <c r="EN10" i="22"/>
  <c r="EM11" i="22"/>
  <c r="EN12" i="22"/>
  <c r="EO13" i="22"/>
  <c r="EL15" i="22"/>
  <c r="EO14" i="22"/>
  <c r="EK17" i="22"/>
  <c r="EO17" i="22"/>
  <c r="EL18" i="22"/>
  <c r="EI19" i="22"/>
  <c r="EM19" i="22"/>
  <c r="EJ20" i="22"/>
  <c r="EN20" i="22"/>
  <c r="EK21" i="22"/>
  <c r="EO21" i="22"/>
  <c r="A48" i="22"/>
  <c r="A47" i="22"/>
  <c r="A46" i="22"/>
  <c r="A45" i="22"/>
  <c r="A44" i="22"/>
  <c r="A43" i="22"/>
  <c r="A42" i="22"/>
  <c r="A41" i="22"/>
  <c r="A40" i="22"/>
  <c r="A39" i="22"/>
  <c r="A38" i="22"/>
  <c r="A36" i="22"/>
  <c r="A35" i="22"/>
  <c r="A34" i="22"/>
  <c r="A33" i="22"/>
  <c r="A32" i="22"/>
  <c r="A31" i="22"/>
  <c r="A30" i="22"/>
  <c r="Q77" i="19" l="1"/>
  <c r="I77" i="19"/>
  <c r="I78" i="19"/>
  <c r="L78" i="19"/>
  <c r="S77" i="19"/>
  <c r="L77" i="19"/>
  <c r="N78" i="19"/>
  <c r="G77" i="19"/>
  <c r="G78" i="19"/>
  <c r="N77" i="19"/>
  <c r="M97" i="19"/>
  <c r="O97" i="19"/>
  <c r="E97" i="19"/>
  <c r="H97" i="19"/>
  <c r="R97" i="19"/>
  <c r="J97" i="19"/>
  <c r="R91" i="19"/>
  <c r="H91" i="19"/>
  <c r="E91" i="19"/>
  <c r="O91" i="19"/>
  <c r="J91" i="19"/>
  <c r="M91" i="19"/>
  <c r="O94" i="19"/>
  <c r="M94" i="19"/>
  <c r="J94" i="19"/>
  <c r="R94" i="19"/>
  <c r="E94" i="19"/>
  <c r="H94" i="19"/>
  <c r="M88" i="19"/>
  <c r="O88" i="19"/>
  <c r="R88" i="19"/>
  <c r="E88" i="19"/>
  <c r="H88" i="19"/>
  <c r="J88" i="19"/>
  <c r="L61" i="23"/>
  <c r="N97" i="19" l="1"/>
  <c r="I97" i="19"/>
  <c r="I94" i="19"/>
  <c r="N91" i="19"/>
  <c r="Q88" i="19"/>
  <c r="N94" i="19" l="1"/>
  <c r="I71" i="19"/>
  <c r="D94" i="19"/>
  <c r="G91" i="19"/>
  <c r="I91" i="19"/>
  <c r="G72" i="19"/>
  <c r="D91" i="19"/>
  <c r="Q91" i="19"/>
  <c r="D71" i="19"/>
  <c r="L91" i="19"/>
  <c r="D97" i="19"/>
  <c r="D77" i="19"/>
  <c r="G71" i="19"/>
  <c r="N71" i="19" s="1"/>
  <c r="L71" i="19"/>
  <c r="D72" i="19"/>
  <c r="D78" i="19"/>
  <c r="D88" i="19"/>
  <c r="I88" i="19"/>
  <c r="N88" i="19"/>
  <c r="G94" i="19"/>
  <c r="L94" i="19"/>
  <c r="Q94" i="19"/>
  <c r="G97" i="19"/>
  <c r="L97" i="19"/>
  <c r="Q97" i="19"/>
  <c r="G88" i="19"/>
  <c r="L88" i="19"/>
  <c r="CM15" i="22"/>
  <c r="AI15" i="22"/>
  <c r="T18" i="22"/>
  <c r="AF20" i="22"/>
  <c r="CR19" i="22"/>
  <c r="V11" i="22"/>
  <c r="BC10" i="22"/>
  <c r="BM18" i="22"/>
  <c r="BX15" i="22"/>
  <c r="BJ12" i="22"/>
  <c r="BA11" i="22"/>
  <c r="BL13" i="22"/>
  <c r="AN12" i="22"/>
  <c r="CP20" i="22"/>
  <c r="AV18" i="22"/>
  <c r="AV11" i="22"/>
  <c r="CP14" i="22"/>
  <c r="CC12" i="22"/>
  <c r="BB20" i="22"/>
  <c r="BB19" i="22"/>
  <c r="AG13" i="22"/>
  <c r="X16" i="22"/>
  <c r="BJ9" i="22"/>
  <c r="BA21" i="22"/>
  <c r="CS12" i="22"/>
  <c r="AL19" i="22"/>
  <c r="AR15" i="22"/>
  <c r="AF19" i="22"/>
  <c r="T21" i="22"/>
  <c r="AG18" i="22"/>
  <c r="T19" i="22"/>
  <c r="BZ11" i="22"/>
  <c r="CA11" i="22"/>
  <c r="CE15" i="22"/>
  <c r="CB12" i="22"/>
  <c r="AD19" i="22"/>
  <c r="CA15" i="22"/>
  <c r="CR10" i="22"/>
  <c r="BZ18" i="22"/>
  <c r="AU18" i="22"/>
  <c r="AD17" i="22"/>
  <c r="AL10" i="22"/>
  <c r="CC14" i="22"/>
  <c r="AO16" i="22"/>
  <c r="AW10" i="22"/>
  <c r="CH13" i="22"/>
  <c r="AM9" i="22"/>
  <c r="AV14" i="22"/>
  <c r="CJ11" i="22"/>
  <c r="BB11" i="22"/>
  <c r="CQ15" i="22"/>
  <c r="AU9" i="22"/>
  <c r="BY11" i="22"/>
  <c r="BJ16" i="22"/>
  <c r="BJ13" i="22"/>
  <c r="BZ19" i="22"/>
  <c r="CQ9" i="22"/>
  <c r="AZ19" i="22"/>
  <c r="BH18" i="22"/>
  <c r="BE18" i="22"/>
  <c r="BC19" i="22"/>
  <c r="AK10" i="22"/>
  <c r="CO20" i="22"/>
  <c r="AB21" i="22"/>
  <c r="V21" i="22"/>
  <c r="AI18" i="22"/>
  <c r="AL18" i="22"/>
  <c r="BL14" i="22"/>
  <c r="CP15" i="22"/>
  <c r="AT18" i="22"/>
  <c r="BL11" i="22"/>
  <c r="CS20" i="22"/>
  <c r="Y10" i="22"/>
  <c r="CS16" i="22"/>
  <c r="AD15" i="22"/>
  <c r="CM9" i="22"/>
  <c r="BA15" i="22"/>
  <c r="T9" i="22"/>
  <c r="AY18" i="22"/>
  <c r="CA20" i="22"/>
  <c r="CM19" i="22"/>
  <c r="CB13" i="22"/>
  <c r="AN17" i="22"/>
  <c r="BL17" i="22"/>
  <c r="AT11" i="22"/>
  <c r="X10" i="22"/>
  <c r="AE11" i="22"/>
  <c r="AC19" i="22"/>
  <c r="AM10" i="22"/>
  <c r="BG18" i="22"/>
  <c r="BC18" i="22"/>
  <c r="V12" i="22"/>
  <c r="X18" i="22"/>
  <c r="BM17" i="22"/>
  <c r="CO11" i="22"/>
  <c r="Y9" i="22"/>
  <c r="BW9" i="22"/>
  <c r="X12" i="22"/>
  <c r="CJ21" i="22"/>
  <c r="BL10" i="22"/>
  <c r="AF13" i="22"/>
  <c r="BM21" i="22"/>
  <c r="BD21" i="22"/>
  <c r="BE17" i="22"/>
  <c r="AQ18" i="22"/>
  <c r="AL13" i="22"/>
  <c r="AO20" i="22"/>
  <c r="BI21" i="22"/>
  <c r="CB21" i="22"/>
  <c r="CA18" i="22"/>
  <c r="AN18" i="22"/>
  <c r="CK10" i="22"/>
  <c r="BX19" i="22"/>
  <c r="BM10" i="22"/>
  <c r="Y18" i="22"/>
  <c r="AZ9" i="22"/>
  <c r="BY21" i="22"/>
  <c r="CP11" i="22"/>
  <c r="CG11" i="22"/>
  <c r="CG19" i="22"/>
  <c r="BM9" i="22"/>
  <c r="CH10" i="22"/>
  <c r="AD16" i="22"/>
  <c r="AF21" i="22"/>
  <c r="AD12" i="22"/>
  <c r="CH12" i="22"/>
  <c r="BB14" i="22"/>
  <c r="AM17" i="22"/>
  <c r="CR9" i="22"/>
  <c r="AT10" i="22"/>
  <c r="BJ11" i="22"/>
  <c r="AR18" i="22"/>
  <c r="CA10" i="22"/>
  <c r="CB14" i="22"/>
  <c r="Y17" i="22"/>
  <c r="BI11" i="22"/>
  <c r="Y19" i="22"/>
  <c r="AY19" i="22"/>
  <c r="AN21" i="22"/>
  <c r="CM20" i="22"/>
  <c r="AW14" i="22"/>
  <c r="AT17" i="22"/>
  <c r="AF17" i="22"/>
  <c r="BK9" i="22"/>
  <c r="U21" i="22"/>
  <c r="AF11" i="22"/>
  <c r="BW18" i="22"/>
  <c r="AY20" i="22"/>
  <c r="CI11" i="22"/>
  <c r="CJ14" i="22"/>
  <c r="BD19" i="22"/>
  <c r="BD10" i="22"/>
  <c r="BZ16" i="22"/>
  <c r="CO9" i="22"/>
  <c r="AI21" i="22"/>
  <c r="BC15" i="22"/>
  <c r="BK17" i="22"/>
  <c r="X21" i="22"/>
  <c r="BK21" i="22"/>
  <c r="CP17" i="22"/>
  <c r="X9" i="22"/>
  <c r="AO17" i="22"/>
  <c r="BB17" i="22"/>
  <c r="CF21" i="22"/>
  <c r="CF15" i="22"/>
  <c r="CH14" i="22"/>
  <c r="V19" i="22"/>
  <c r="CB9" i="22"/>
  <c r="BK10" i="22"/>
  <c r="AS19" i="22"/>
  <c r="CK20" i="22"/>
  <c r="BG9" i="22"/>
  <c r="CG17" i="22"/>
  <c r="AN16" i="22"/>
  <c r="CK18" i="22"/>
  <c r="CH18" i="22"/>
  <c r="AQ15" i="22"/>
  <c r="AM19" i="22"/>
  <c r="CM18" i="22"/>
  <c r="BB16" i="22"/>
  <c r="CP10" i="22"/>
  <c r="AA19" i="22"/>
  <c r="BI15" i="22"/>
  <c r="CO19" i="22"/>
  <c r="AT15" i="22"/>
  <c r="CP21" i="22"/>
  <c r="AU21" i="22"/>
  <c r="CG21" i="22"/>
  <c r="AO12" i="22"/>
  <c r="BY15" i="22"/>
  <c r="CR12" i="22"/>
  <c r="AJ18" i="22"/>
  <c r="CS18" i="22"/>
  <c r="BZ17" i="22"/>
  <c r="CK13" i="22"/>
  <c r="BL18" i="22"/>
  <c r="AI19" i="22"/>
  <c r="BM14" i="22"/>
  <c r="AY21" i="22"/>
  <c r="CR16" i="22"/>
  <c r="AK21" i="22"/>
  <c r="AO21" i="22"/>
  <c r="AA15" i="22"/>
  <c r="BE14" i="22"/>
  <c r="BI19" i="22"/>
  <c r="AB15" i="22"/>
  <c r="W17" i="22"/>
  <c r="CA21" i="22"/>
  <c r="AL14" i="22"/>
  <c r="AE10" i="22"/>
  <c r="AV19" i="22"/>
  <c r="AN13" i="22"/>
  <c r="AW13" i="22"/>
  <c r="CH9" i="22"/>
  <c r="AE18" i="22"/>
  <c r="CP13" i="22"/>
  <c r="CC16" i="22"/>
  <c r="V16" i="22"/>
  <c r="BD16" i="22"/>
  <c r="CJ17" i="22"/>
  <c r="S9" i="22"/>
  <c r="U9" i="22"/>
  <c r="BZ20" i="22"/>
  <c r="AD14" i="22"/>
  <c r="BM11" i="22"/>
  <c r="AD21" i="22"/>
  <c r="CS17" i="22"/>
  <c r="AO10" i="22"/>
  <c r="AM15" i="22"/>
  <c r="CR18" i="22"/>
  <c r="AL15" i="22"/>
  <c r="BJ10" i="22"/>
  <c r="S19" i="22"/>
  <c r="BD18" i="22"/>
  <c r="AS21" i="22"/>
  <c r="BB13" i="22"/>
  <c r="BW20" i="22"/>
  <c r="AB9" i="22"/>
  <c r="BL19" i="22"/>
  <c r="AT13" i="22"/>
  <c r="CN9" i="22"/>
  <c r="CF18" i="22"/>
  <c r="BZ10" i="22"/>
  <c r="CK16" i="22"/>
  <c r="CB10" i="22"/>
  <c r="U11" i="22"/>
  <c r="AR19" i="22"/>
  <c r="CN15" i="22"/>
  <c r="AS17" i="22"/>
  <c r="BW15" i="22"/>
  <c r="BD20" i="22"/>
  <c r="CR14" i="22"/>
  <c r="CA19" i="22"/>
  <c r="BL12" i="22"/>
  <c r="AV10" i="22"/>
  <c r="CC9" i="22"/>
  <c r="AB19" i="22"/>
  <c r="CC10" i="22"/>
  <c r="CE20" i="22"/>
  <c r="AE19" i="22"/>
  <c r="AF16" i="22"/>
  <c r="CB16" i="22"/>
  <c r="BL9" i="22"/>
  <c r="CQ21" i="22"/>
  <c r="BD11" i="22"/>
  <c r="AJ21" i="22"/>
  <c r="AN19" i="22"/>
  <c r="CH21" i="22"/>
  <c r="BG15" i="22"/>
  <c r="CQ10" i="22"/>
  <c r="BC9" i="22"/>
  <c r="AW17" i="22"/>
  <c r="BM12" i="22"/>
  <c r="AK11" i="22"/>
  <c r="CQ20" i="22"/>
  <c r="AU11" i="22"/>
  <c r="CI19" i="22"/>
  <c r="BD14" i="22"/>
  <c r="X13" i="22"/>
  <c r="CO15" i="22"/>
  <c r="BC17" i="22"/>
  <c r="AQ19" i="22"/>
  <c r="BD12" i="22"/>
  <c r="AD11" i="22"/>
  <c r="AI9" i="22"/>
  <c r="CR17" i="22"/>
  <c r="AZ18" i="22"/>
  <c r="AN10" i="22"/>
  <c r="W21" i="22"/>
  <c r="BE12" i="22"/>
  <c r="AA18" i="22"/>
  <c r="AK20" i="22"/>
  <c r="BC20" i="22"/>
  <c r="U18" i="22"/>
  <c r="CH15" i="22"/>
  <c r="AL20" i="22"/>
  <c r="X19" i="22"/>
  <c r="AL17" i="22"/>
  <c r="CB17" i="22"/>
  <c r="CP9" i="22"/>
  <c r="BA17" i="22"/>
  <c r="CQ19" i="22"/>
  <c r="AY9" i="22"/>
  <c r="AU10" i="22"/>
  <c r="CH19" i="22"/>
  <c r="CP19" i="22"/>
  <c r="CP18" i="22"/>
  <c r="BY20" i="22"/>
  <c r="AT19" i="22"/>
  <c r="CC18" i="22"/>
  <c r="V13" i="22"/>
  <c r="BM13" i="22"/>
  <c r="BI18" i="22"/>
  <c r="AL11" i="22"/>
  <c r="CP16" i="22"/>
  <c r="CJ16" i="22"/>
  <c r="CQ18" i="22"/>
  <c r="CJ18" i="22"/>
  <c r="BK15" i="22"/>
  <c r="AR9" i="22"/>
  <c r="U15" i="22"/>
  <c r="CO17" i="22"/>
  <c r="BZ14" i="22"/>
  <c r="CE19" i="22"/>
  <c r="BJ15" i="22"/>
  <c r="BD13" i="22"/>
  <c r="X17" i="22"/>
  <c r="AQ21" i="22"/>
  <c r="AZ21" i="22"/>
  <c r="AC15" i="22"/>
  <c r="BA9" i="22"/>
  <c r="X14" i="22"/>
  <c r="AK9" i="22"/>
  <c r="AD20" i="22"/>
  <c r="AN9" i="22"/>
  <c r="AK17" i="22"/>
  <c r="AL12" i="22"/>
  <c r="BH15" i="22"/>
  <c r="CB19" i="22"/>
  <c r="AS15" i="22"/>
  <c r="BZ13" i="22"/>
  <c r="AT9" i="22"/>
  <c r="BJ21" i="22"/>
  <c r="AG20" i="22"/>
  <c r="BZ15" i="22"/>
  <c r="AG9" i="22"/>
  <c r="CS21" i="22"/>
  <c r="BJ14" i="22"/>
  <c r="CJ9" i="22"/>
  <c r="AG12" i="22"/>
  <c r="BH9" i="22"/>
  <c r="AU17" i="22"/>
  <c r="CI15" i="22"/>
  <c r="CI18" i="22"/>
  <c r="W10" i="22"/>
  <c r="BC11" i="22"/>
  <c r="CS11" i="22"/>
  <c r="AW11" i="22"/>
  <c r="Y21" i="22"/>
  <c r="CI9" i="22"/>
  <c r="BY19" i="22"/>
  <c r="CH20" i="22"/>
  <c r="BK18" i="22"/>
  <c r="AC10" i="22"/>
  <c r="BE19" i="22"/>
  <c r="AS9" i="22"/>
  <c r="AN14" i="22"/>
  <c r="CA9" i="22"/>
  <c r="CR21" i="22"/>
  <c r="U19" i="22"/>
  <c r="CO10" i="22"/>
  <c r="CN18" i="22"/>
  <c r="AE15" i="22"/>
  <c r="W11" i="22"/>
  <c r="BB12" i="22"/>
  <c r="BD9" i="22"/>
  <c r="V9" i="22"/>
  <c r="AY15" i="22"/>
  <c r="CG9" i="22"/>
  <c r="AK19" i="22"/>
  <c r="BE9" i="22"/>
  <c r="AR21" i="22"/>
  <c r="BE16" i="22"/>
  <c r="CG20" i="22"/>
  <c r="Y12" i="22"/>
  <c r="AT21" i="22"/>
  <c r="CQ11" i="22"/>
  <c r="AO18" i="22"/>
  <c r="X11" i="22"/>
  <c r="AN20" i="22"/>
  <c r="AD18" i="22"/>
  <c r="AW21" i="22"/>
  <c r="BI9" i="22"/>
  <c r="CK19" i="22"/>
  <c r="BL16" i="22"/>
  <c r="AD13" i="22"/>
  <c r="CJ13" i="22"/>
  <c r="AB18" i="22"/>
  <c r="CH16" i="22"/>
  <c r="CF9" i="22"/>
  <c r="W9" i="22"/>
  <c r="AJ19" i="22"/>
  <c r="AC11" i="22"/>
  <c r="AG10" i="22"/>
  <c r="BB18" i="22"/>
  <c r="BY18" i="22"/>
  <c r="CS9" i="22"/>
  <c r="BW21" i="22"/>
  <c r="CS19" i="22"/>
  <c r="BB15" i="22"/>
  <c r="CI10" i="22"/>
  <c r="AS10" i="22"/>
  <c r="AF14" i="22"/>
  <c r="BH19" i="22"/>
  <c r="AJ20" i="22"/>
  <c r="CM21" i="22"/>
  <c r="AV12" i="22"/>
  <c r="AG11" i="22"/>
  <c r="CJ20" i="22"/>
  <c r="CK21" i="22"/>
  <c r="CJ10" i="22"/>
  <c r="CG15" i="22"/>
  <c r="Y11" i="22"/>
  <c r="CG18" i="22"/>
  <c r="CO21" i="22"/>
  <c r="CQ17" i="22"/>
  <c r="BL21" i="22"/>
  <c r="CN20" i="22"/>
  <c r="AM11" i="22"/>
  <c r="W18" i="22"/>
  <c r="AV17" i="22"/>
  <c r="AU15" i="22"/>
  <c r="CN19" i="22"/>
  <c r="CA17" i="22"/>
  <c r="CR11" i="22"/>
  <c r="BE20" i="22"/>
  <c r="AZ20" i="22"/>
  <c r="AF18" i="22"/>
  <c r="U10" i="22"/>
  <c r="BA10" i="22"/>
  <c r="BJ19" i="22"/>
  <c r="CK14" i="22"/>
  <c r="AF12" i="22"/>
  <c r="BX18" i="22"/>
  <c r="U17" i="22"/>
  <c r="AB20" i="22"/>
  <c r="CN21" i="22"/>
  <c r="AD10" i="22"/>
  <c r="BE10" i="22"/>
  <c r="CC17" i="22"/>
  <c r="BX9" i="22"/>
  <c r="BZ12" i="22"/>
  <c r="BZ9" i="22"/>
  <c r="CR13" i="22"/>
  <c r="BM16" i="22"/>
  <c r="AG21" i="22"/>
  <c r="AG19" i="22"/>
  <c r="CB18" i="22"/>
  <c r="AW9" i="22"/>
  <c r="AK18" i="22"/>
  <c r="BA20" i="22"/>
  <c r="BB21" i="22"/>
  <c r="CC13" i="22"/>
  <c r="CR20" i="22"/>
  <c r="CE21" i="22"/>
  <c r="CK11" i="22"/>
  <c r="CG10" i="22"/>
  <c r="AE9" i="22"/>
  <c r="AM18" i="22"/>
  <c r="AO9" i="22"/>
  <c r="CH17" i="22"/>
  <c r="BG21" i="22"/>
  <c r="W19" i="22"/>
  <c r="AL21" i="22"/>
  <c r="CJ19" i="22"/>
  <c r="CS10" i="22"/>
  <c r="CJ12" i="22"/>
  <c r="AL9" i="22"/>
  <c r="AU19" i="22"/>
  <c r="AC20" i="22"/>
  <c r="AV16" i="22"/>
  <c r="AT12" i="22"/>
  <c r="AJ9" i="22"/>
  <c r="AO14" i="22"/>
  <c r="AV21" i="22"/>
  <c r="CC19" i="22"/>
  <c r="AM21" i="22"/>
  <c r="CI17" i="22"/>
  <c r="BG19" i="22"/>
  <c r="AV13" i="22"/>
  <c r="AO19" i="22"/>
  <c r="BZ21" i="22"/>
  <c r="AQ9" i="22"/>
  <c r="Y16" i="22"/>
  <c r="AW16" i="22"/>
  <c r="BB9" i="22"/>
  <c r="CE9" i="22"/>
  <c r="AW18" i="22"/>
  <c r="AI20" i="22"/>
  <c r="BJ17" i="22"/>
  <c r="AE17" i="22"/>
  <c r="CB11" i="22"/>
  <c r="AM20" i="22"/>
  <c r="CK12" i="22"/>
  <c r="AN11" i="22"/>
  <c r="CF20" i="22"/>
  <c r="CP12" i="22"/>
  <c r="AC18" i="22"/>
  <c r="BY17" i="22"/>
  <c r="BY10" i="22"/>
  <c r="CS13" i="22"/>
  <c r="BE13" i="22"/>
  <c r="BX20" i="22"/>
  <c r="BK11" i="22"/>
  <c r="AS11" i="22"/>
  <c r="BX21" i="22"/>
  <c r="AF9" i="22"/>
  <c r="BH21" i="22"/>
  <c r="BW19" i="22"/>
  <c r="BM19" i="22"/>
  <c r="AV9" i="22"/>
  <c r="CI20" i="22"/>
  <c r="BY9" i="22"/>
  <c r="V17" i="22"/>
  <c r="AC9" i="22"/>
  <c r="AW19" i="22"/>
  <c r="AK15" i="22"/>
  <c r="CH11" i="22"/>
  <c r="AA9" i="22"/>
  <c r="S15" i="22"/>
  <c r="AD9" i="22"/>
  <c r="AW12" i="22"/>
  <c r="AS18" i="22"/>
  <c r="CB20" i="22"/>
  <c r="AA21" i="22"/>
  <c r="BJ18" i="22"/>
  <c r="CI21" i="22"/>
  <c r="CK17" i="22"/>
  <c r="AE20" i="22"/>
  <c r="S21" i="22"/>
  <c r="CE18" i="22"/>
  <c r="CC20" i="22"/>
  <c r="BA18" i="22"/>
  <c r="AL16" i="22"/>
  <c r="Y13" i="22"/>
  <c r="V15" i="22"/>
  <c r="BC21" i="22"/>
  <c r="BK19" i="22"/>
  <c r="AT16" i="22"/>
  <c r="CC21" i="22"/>
  <c r="AZ15" i="22"/>
  <c r="AE21" i="22"/>
  <c r="CS14" i="22"/>
  <c r="T15" i="22"/>
  <c r="CO18" i="22"/>
  <c r="BA19" i="22"/>
  <c r="CK9" i="22"/>
  <c r="CC11" i="22"/>
  <c r="CF19" i="22"/>
  <c r="AO11" i="22"/>
  <c r="BD17" i="22"/>
  <c r="W15" i="22"/>
  <c r="AJ15" i="22"/>
  <c r="AT14" i="22"/>
  <c r="BB10" i="22"/>
  <c r="Y14" i="22"/>
  <c r="AG17" i="22"/>
  <c r="BE21" i="22"/>
  <c r="AA20" i="22"/>
  <c r="AG14" i="22"/>
  <c r="V14" i="22"/>
  <c r="BI10" i="22"/>
  <c r="V10" i="22"/>
  <c r="AO13" i="22"/>
  <c r="AG16" i="22"/>
  <c r="BI17" i="22"/>
  <c r="AC17" i="22"/>
  <c r="V18" i="22"/>
  <c r="AC21" i="22"/>
  <c r="S18" i="22"/>
  <c r="BE11" i="22"/>
  <c r="AF10" i="22"/>
  <c r="P19" i="22"/>
  <c r="M18" i="22"/>
  <c r="P17" i="22"/>
  <c r="N12" i="22"/>
  <c r="O18" i="22"/>
  <c r="P14" i="22"/>
  <c r="L19" i="22"/>
  <c r="N13" i="22"/>
  <c r="N15" i="22"/>
  <c r="N17" i="22"/>
  <c r="N11" i="22"/>
  <c r="N9" i="22"/>
  <c r="L21" i="22"/>
  <c r="M15" i="22"/>
  <c r="M21" i="22"/>
  <c r="Q18" i="22"/>
  <c r="Q10" i="22"/>
  <c r="O21" i="22"/>
  <c r="N19" i="22"/>
  <c r="Q17" i="22"/>
  <c r="O9" i="22"/>
  <c r="O10" i="22"/>
  <c r="M10" i="22"/>
  <c r="N18" i="22"/>
  <c r="P9" i="22"/>
  <c r="Q11" i="22"/>
  <c r="N10" i="22"/>
  <c r="Q20" i="22"/>
  <c r="L15" i="22"/>
  <c r="Q14" i="22"/>
  <c r="N16" i="22"/>
  <c r="P12" i="22"/>
  <c r="N20" i="22"/>
  <c r="K18" i="22"/>
  <c r="K9" i="22"/>
  <c r="P20" i="22"/>
  <c r="N21" i="22"/>
  <c r="M20" i="22"/>
  <c r="M9" i="22"/>
  <c r="K19" i="22"/>
  <c r="O17" i="22"/>
  <c r="Q21" i="22"/>
  <c r="K21" i="22"/>
  <c r="L20" i="22"/>
  <c r="P13" i="22"/>
  <c r="O20" i="22"/>
  <c r="P11" i="22"/>
  <c r="M19" i="22"/>
  <c r="M17" i="22"/>
  <c r="P18" i="22"/>
  <c r="P16" i="22"/>
  <c r="Q19" i="22"/>
  <c r="L9" i="22"/>
  <c r="N14" i="22"/>
  <c r="L18" i="22"/>
  <c r="O15" i="22"/>
  <c r="Q9" i="22"/>
  <c r="P21" i="22"/>
  <c r="Q13" i="22"/>
  <c r="O11" i="22"/>
  <c r="K20" i="22"/>
  <c r="Q16" i="22"/>
  <c r="Q12" i="22"/>
  <c r="P10" i="22"/>
  <c r="K15" i="22"/>
  <c r="M11" i="22"/>
  <c r="O19" i="22"/>
  <c r="F21" i="22"/>
  <c r="G21" i="22"/>
  <c r="E21" i="22"/>
  <c r="D21" i="22"/>
  <c r="C21" i="22"/>
  <c r="H21" i="22"/>
  <c r="J59" i="19"/>
  <c r="H60" i="19"/>
  <c r="I21" i="22"/>
  <c r="R59" i="19"/>
  <c r="J60" i="19"/>
  <c r="T59" i="19"/>
  <c r="M60" i="19"/>
  <c r="E59" i="19"/>
  <c r="L57" i="23" l="1"/>
  <c r="L45" i="23"/>
  <c r="L55" i="23"/>
  <c r="L58" i="23"/>
  <c r="L43" i="23"/>
  <c r="L41" i="23"/>
  <c r="L44" i="23"/>
  <c r="L42" i="23"/>
  <c r="L56" i="23"/>
  <c r="L39" i="23"/>
  <c r="L40" i="23"/>
  <c r="L38" i="23"/>
  <c r="H55" i="23"/>
  <c r="M67" i="21"/>
  <c r="M59" i="21"/>
  <c r="M44" i="21"/>
  <c r="M50" i="21" s="1"/>
  <c r="M27" i="21"/>
  <c r="M36" i="21" s="1"/>
  <c r="E60" i="19"/>
  <c r="O59" i="19"/>
  <c r="E19" i="22"/>
  <c r="E11" i="22"/>
  <c r="F11" i="22"/>
  <c r="R25" i="19"/>
  <c r="I9" i="22"/>
  <c r="E10" i="22"/>
  <c r="H12" i="22"/>
  <c r="H11" i="22"/>
  <c r="I13" i="22"/>
  <c r="C9" i="22"/>
  <c r="H25" i="19"/>
  <c r="F13" i="22"/>
  <c r="G19" i="22"/>
  <c r="H18" i="22"/>
  <c r="M26" i="19"/>
  <c r="O66" i="19"/>
  <c r="E31" i="19"/>
  <c r="J20" i="19"/>
  <c r="O60" i="19"/>
  <c r="F19" i="22"/>
  <c r="H19" i="22"/>
  <c r="H13" i="22"/>
  <c r="M31" i="19" s="1"/>
  <c r="H31" i="19"/>
  <c r="G11" i="22"/>
  <c r="F15" i="22"/>
  <c r="E9" i="22"/>
  <c r="O69" i="19"/>
  <c r="F9" i="22"/>
  <c r="G17" i="22"/>
  <c r="H10" i="22"/>
  <c r="F17" i="22"/>
  <c r="M62" i="19"/>
  <c r="I17" i="22"/>
  <c r="C19" i="22"/>
  <c r="T68" i="19"/>
  <c r="H59" i="19"/>
  <c r="C18" i="22"/>
  <c r="H65" i="19" s="1"/>
  <c r="D19" i="22"/>
  <c r="G9" i="22"/>
  <c r="M20" i="19" s="1"/>
  <c r="I11" i="22"/>
  <c r="E25" i="19" s="1"/>
  <c r="D15" i="22"/>
  <c r="H9" i="22"/>
  <c r="I10" i="22"/>
  <c r="I18" i="22"/>
  <c r="E66" i="19" s="1"/>
  <c r="R68" i="19"/>
  <c r="T19" i="19"/>
  <c r="E15" i="22"/>
  <c r="F16" i="22"/>
  <c r="I16" i="22"/>
  <c r="M37" i="19"/>
  <c r="H69" i="19"/>
  <c r="I19" i="22"/>
  <c r="G18" i="22"/>
  <c r="D18" i="22"/>
  <c r="J62" i="19"/>
  <c r="M66" i="19"/>
  <c r="E22" i="19"/>
  <c r="H28" i="19"/>
  <c r="J66" i="19"/>
  <c r="F14" i="22"/>
  <c r="J68" i="19"/>
  <c r="M59" i="19"/>
  <c r="E18" i="22"/>
  <c r="H16" i="22"/>
  <c r="M40" i="19" s="1"/>
  <c r="D9" i="22"/>
  <c r="M19" i="19" s="1"/>
  <c r="M68" i="19"/>
  <c r="I12" i="22"/>
  <c r="H14" i="22"/>
  <c r="M34" i="19" s="1"/>
  <c r="H17" i="22"/>
  <c r="J37" i="19"/>
  <c r="H34" i="19"/>
  <c r="J19" i="19"/>
  <c r="C15" i="22"/>
  <c r="G15" i="22"/>
  <c r="F12" i="22"/>
  <c r="E65" i="19"/>
  <c r="O68" i="19"/>
  <c r="H40" i="19"/>
  <c r="O22" i="19"/>
  <c r="H19" i="19"/>
  <c r="E17" i="22"/>
  <c r="F10" i="22"/>
  <c r="I14" i="22"/>
  <c r="E34" i="19" s="1"/>
  <c r="E28" i="19"/>
  <c r="T25" i="19"/>
  <c r="R22" i="19"/>
  <c r="H68" i="19"/>
  <c r="O19" i="19"/>
  <c r="J25" i="19"/>
  <c r="J34" i="19"/>
  <c r="J40" i="19"/>
  <c r="F18" i="22"/>
  <c r="J65" i="19"/>
  <c r="O20" i="19"/>
  <c r="O37" i="19"/>
  <c r="J69" i="19"/>
  <c r="R65" i="19"/>
  <c r="O65" i="19"/>
  <c r="O62" i="19"/>
  <c r="H37" i="19"/>
  <c r="T37" i="19"/>
  <c r="M63" i="19"/>
  <c r="H38" i="23" l="1"/>
  <c r="H58" i="23"/>
  <c r="H57" i="23"/>
  <c r="H56" i="23"/>
  <c r="H45" i="23"/>
  <c r="H44" i="23"/>
  <c r="H43" i="23"/>
  <c r="H42" i="23"/>
  <c r="H41" i="23"/>
  <c r="H40" i="23"/>
  <c r="R62" i="19"/>
  <c r="J28" i="19"/>
  <c r="E40" i="19"/>
  <c r="E68" i="19"/>
  <c r="R19" i="19"/>
  <c r="E19" i="19"/>
  <c r="M23" i="19"/>
  <c r="F20" i="22"/>
  <c r="I20" i="22"/>
  <c r="D20" i="22"/>
  <c r="E78" i="19"/>
  <c r="M69" i="19"/>
  <c r="M38" i="19"/>
  <c r="M65" i="19"/>
  <c r="R37" i="19"/>
  <c r="E62" i="19"/>
  <c r="M25" i="19"/>
  <c r="J31" i="19"/>
  <c r="E20" i="19"/>
  <c r="H20" i="22"/>
  <c r="H78" i="19" s="1"/>
  <c r="C20" i="22"/>
  <c r="E20" i="22"/>
  <c r="H77" i="19"/>
  <c r="E69" i="19"/>
  <c r="T62" i="19"/>
  <c r="M77" i="19"/>
  <c r="E37" i="19"/>
  <c r="T65" i="19"/>
  <c r="J22" i="19"/>
  <c r="H22" i="19"/>
  <c r="H66" i="19"/>
  <c r="O25" i="19"/>
  <c r="O78" i="19"/>
  <c r="J78" i="19"/>
  <c r="J77" i="19"/>
  <c r="G20" i="22"/>
  <c r="E77" i="19"/>
  <c r="H62" i="19"/>
  <c r="H20" i="19"/>
  <c r="M28" i="19"/>
  <c r="G10" i="22"/>
  <c r="M22" i="19" s="1"/>
  <c r="T22" i="19"/>
  <c r="R77" i="19"/>
  <c r="O77" i="19"/>
  <c r="T77" i="19"/>
  <c r="H61" i="23" l="1"/>
  <c r="H39" i="23"/>
  <c r="M78" i="19"/>
</calcChain>
</file>

<file path=xl/sharedStrings.xml><?xml version="1.0" encoding="utf-8"?>
<sst xmlns="http://schemas.openxmlformats.org/spreadsheetml/2006/main" count="2744" uniqueCount="413">
  <si>
    <t>Average class size</t>
  </si>
  <si>
    <t>Energy</t>
  </si>
  <si>
    <t>Teaching staff</t>
  </si>
  <si>
    <t>Education support staff</t>
  </si>
  <si>
    <t>Pupil to teacher ratio</t>
  </si>
  <si>
    <t>Administrative and clerical staff</t>
  </si>
  <si>
    <t>School name:</t>
  </si>
  <si>
    <t>Ofsted rating</t>
  </si>
  <si>
    <t>Progress 8 score</t>
  </si>
  <si>
    <t>Progress score in reading</t>
  </si>
  <si>
    <t>Progress score in writing</t>
  </si>
  <si>
    <t>Progress score in maths</t>
  </si>
  <si>
    <t>A. Governance</t>
  </si>
  <si>
    <t>Comments, evidence and proposed actions</t>
  </si>
  <si>
    <t>Pupil to adult ratio</t>
  </si>
  <si>
    <t>Inadequate</t>
  </si>
  <si>
    <t>Phase</t>
  </si>
  <si>
    <t>Phase:</t>
  </si>
  <si>
    <t>Region:</t>
  </si>
  <si>
    <t>Number of pupils:</t>
  </si>
  <si>
    <t>FSM</t>
  </si>
  <si>
    <t>Primary</t>
  </si>
  <si>
    <t>All-through</t>
  </si>
  <si>
    <t>Rating against
thresholds</t>
  </si>
  <si>
    <r>
      <t xml:space="preserve">Spend on </t>
    </r>
    <r>
      <rPr>
        <b/>
        <sz val="12"/>
        <color theme="1"/>
        <rFont val="Arial"/>
        <family val="2"/>
      </rPr>
      <t>teaching staff</t>
    </r>
    <r>
      <rPr>
        <sz val="12"/>
        <color theme="1"/>
        <rFont val="Arial"/>
        <family val="2"/>
      </rPr>
      <t xml:space="preserve"> as a percentage of total expenditure</t>
    </r>
  </si>
  <si>
    <r>
      <t xml:space="preserve">Spend on </t>
    </r>
    <r>
      <rPr>
        <b/>
        <sz val="12"/>
        <color theme="1"/>
        <rFont val="Arial"/>
        <family val="2"/>
      </rPr>
      <t>supply staff</t>
    </r>
    <r>
      <rPr>
        <sz val="12"/>
        <color theme="1"/>
        <rFont val="Arial"/>
        <family val="2"/>
      </rPr>
      <t xml:space="preserve"> as a percentage of total expenditure</t>
    </r>
  </si>
  <si>
    <r>
      <t xml:space="preserve">Spend on </t>
    </r>
    <r>
      <rPr>
        <b/>
        <sz val="12"/>
        <color theme="1"/>
        <rFont val="Arial"/>
        <family val="2"/>
      </rPr>
      <t>education support staff</t>
    </r>
    <r>
      <rPr>
        <sz val="12"/>
        <color theme="1"/>
        <rFont val="Arial"/>
        <family val="2"/>
      </rPr>
      <t xml:space="preserve"> as a percentage of total expenditure</t>
    </r>
  </si>
  <si>
    <r>
      <t xml:space="preserve">Spend on </t>
    </r>
    <r>
      <rPr>
        <b/>
        <sz val="12"/>
        <color theme="1"/>
        <rFont val="Arial"/>
        <family val="2"/>
      </rPr>
      <t>administrative and clerical staff</t>
    </r>
    <r>
      <rPr>
        <sz val="12"/>
        <color theme="1"/>
        <rFont val="Arial"/>
        <family val="2"/>
      </rPr>
      <t xml:space="preserve"> as a percentage of total expenditure</t>
    </r>
  </si>
  <si>
    <r>
      <t xml:space="preserve">Spend on </t>
    </r>
    <r>
      <rPr>
        <b/>
        <sz val="12"/>
        <color theme="1"/>
        <rFont val="Arial"/>
        <family val="2"/>
      </rPr>
      <t>other staff costs</t>
    </r>
    <r>
      <rPr>
        <sz val="12"/>
        <color theme="1"/>
        <rFont val="Arial"/>
        <family val="2"/>
      </rPr>
      <t xml:space="preserve"> as a percentage of total expenditure</t>
    </r>
  </si>
  <si>
    <r>
      <t xml:space="preserve">Spend on </t>
    </r>
    <r>
      <rPr>
        <b/>
        <sz val="12"/>
        <color theme="1"/>
        <rFont val="Arial"/>
        <family val="2"/>
      </rPr>
      <t>premises (including staff costs)</t>
    </r>
    <r>
      <rPr>
        <sz val="12"/>
        <color theme="1"/>
        <rFont val="Arial"/>
        <family val="2"/>
      </rPr>
      <t xml:space="preserve"> as a percentage of total expenditure</t>
    </r>
  </si>
  <si>
    <t>Other spending as a percentage of total expenditure (balancing line)</t>
  </si>
  <si>
    <r>
      <t xml:space="preserve">Spend on </t>
    </r>
    <r>
      <rPr>
        <b/>
        <sz val="12"/>
        <color theme="1"/>
        <rFont val="Arial"/>
        <family val="2"/>
      </rPr>
      <t>energy</t>
    </r>
    <r>
      <rPr>
        <sz val="12"/>
        <color theme="1"/>
        <rFont val="Arial"/>
        <family val="2"/>
      </rPr>
      <t xml:space="preserve"> as a percentage of total expenditure</t>
    </r>
  </si>
  <si>
    <r>
      <t xml:space="preserve">In-year balance as a percentage of </t>
    </r>
    <r>
      <rPr>
        <sz val="12"/>
        <rFont val="Arial"/>
        <family val="2"/>
      </rPr>
      <t>total income</t>
    </r>
  </si>
  <si>
    <t>Average teacher cost (£)</t>
  </si>
  <si>
    <t>Senior leaders as a percentage of workforce</t>
  </si>
  <si>
    <t>Teacher contact ratio (less than 1.0)</t>
  </si>
  <si>
    <t>Predicted percentage pupil number change in 3-5 years</t>
  </si>
  <si>
    <t>Middle 20% of similar schools</t>
  </si>
  <si>
    <t>Lowest 10% of similar schools</t>
  </si>
  <si>
    <t>Lowest 20% of similar schools</t>
  </si>
  <si>
    <t>Highest 20% of similar schools</t>
  </si>
  <si>
    <t>Highest 10% of similar schools</t>
  </si>
  <si>
    <t>Well below average</t>
  </si>
  <si>
    <t>Below average</t>
  </si>
  <si>
    <t>Well above average</t>
  </si>
  <si>
    <t>Lower than recommended</t>
  </si>
  <si>
    <t>Much lower than recommended</t>
  </si>
  <si>
    <t>Higher than recommended</t>
  </si>
  <si>
    <t>Much higher than recommended</t>
  </si>
  <si>
    <t>Average or above average</t>
  </si>
  <si>
    <t>C. Reserves / balances as a percentage of total income</t>
  </si>
  <si>
    <t>D. School characteristics</t>
  </si>
  <si>
    <t>E. Outcomes</t>
  </si>
  <si>
    <t xml:space="preserve">
[enter text]</t>
  </si>
  <si>
    <t>Signature:</t>
  </si>
  <si>
    <r>
      <t>Spend on</t>
    </r>
    <r>
      <rPr>
        <b/>
        <sz val="12"/>
        <color theme="1"/>
        <rFont val="Arial"/>
        <family val="2"/>
      </rPr>
      <t xml:space="preserve"> teaching resources</t>
    </r>
    <r>
      <rPr>
        <sz val="12"/>
        <color theme="1"/>
        <rFont val="Arial"/>
        <family val="2"/>
      </rPr>
      <t xml:space="preserve"> as a percentage of total expenditure</t>
    </r>
  </si>
  <si>
    <r>
      <t xml:space="preserve">Revenue reserve as a percentage of </t>
    </r>
    <r>
      <rPr>
        <sz val="12"/>
        <rFont val="Arial"/>
        <family val="2"/>
      </rPr>
      <t>total income</t>
    </r>
  </si>
  <si>
    <t>Full name of signatory:</t>
  </si>
  <si>
    <t>Guidance</t>
  </si>
  <si>
    <t>[enter text]</t>
  </si>
  <si>
    <t>F: Optional commentary</t>
  </si>
  <si>
    <t>Total expenditure</t>
  </si>
  <si>
    <t>Examination fees</t>
  </si>
  <si>
    <t>Supply teaching staff</t>
  </si>
  <si>
    <t>Premises staff</t>
  </si>
  <si>
    <t>Catering staff</t>
  </si>
  <si>
    <t>Cost of other staff</t>
  </si>
  <si>
    <t>Indirect employee expenses</t>
  </si>
  <si>
    <t>Staff development and training</t>
  </si>
  <si>
    <t>E10</t>
  </si>
  <si>
    <t>Supply teacher insurance</t>
  </si>
  <si>
    <t>E11</t>
  </si>
  <si>
    <t>Staff-related insurance</t>
  </si>
  <si>
    <t>E13</t>
  </si>
  <si>
    <t>E14</t>
  </si>
  <si>
    <t>Cleaning and caretaking</t>
  </si>
  <si>
    <t>E15</t>
  </si>
  <si>
    <t>Water and sewerage</t>
  </si>
  <si>
    <t>E16</t>
  </si>
  <si>
    <t>E17</t>
  </si>
  <si>
    <t>E18</t>
  </si>
  <si>
    <t>Other occupation costs</t>
  </si>
  <si>
    <t>E19</t>
  </si>
  <si>
    <t>E21</t>
  </si>
  <si>
    <t>E22</t>
  </si>
  <si>
    <t>E23</t>
  </si>
  <si>
    <t>Other insurance premiums</t>
  </si>
  <si>
    <t>E24</t>
  </si>
  <si>
    <t>Special facilities</t>
  </si>
  <si>
    <t>E25</t>
  </si>
  <si>
    <t>Catering supplies</t>
  </si>
  <si>
    <t>E26</t>
  </si>
  <si>
    <t>Agency supply teaching staff</t>
  </si>
  <si>
    <t>E28</t>
  </si>
  <si>
    <t>E29</t>
  </si>
  <si>
    <t>E30</t>
  </si>
  <si>
    <t>E31</t>
  </si>
  <si>
    <t>E32</t>
  </si>
  <si>
    <t>Total income</t>
  </si>
  <si>
    <t>Full time equivalent of teachers in the leadership group</t>
  </si>
  <si>
    <t>Full time equivalent of total school workforce</t>
  </si>
  <si>
    <t>Revenue balances (committed and uncommitted)</t>
  </si>
  <si>
    <t>Raw data form</t>
  </si>
  <si>
    <t>Spend on teaching staff as a percentage of total expenditure</t>
  </si>
  <si>
    <t>Spend on supply staff as a percentage of total expenditure</t>
  </si>
  <si>
    <t>Spend on education support staff as a percentage of total expenditure</t>
  </si>
  <si>
    <t>Spend on administrative and clerical staff as a percentage of total expenditure</t>
  </si>
  <si>
    <t>Spend on other staff costs as a percentage of total expenditure</t>
  </si>
  <si>
    <t>Spend on premises (including staff costs) as a percentage of total expenditure</t>
  </si>
  <si>
    <t>Spend on teaching resources as a percentage of total expenditure</t>
  </si>
  <si>
    <t>Spend on energy as a percentage of total expenditure</t>
  </si>
  <si>
    <t>In-year balance as a percentage of total income</t>
  </si>
  <si>
    <t>Revenue reserve as a percentage of total income</t>
  </si>
  <si>
    <t>Red rating</t>
  </si>
  <si>
    <t>Less than or equal to</t>
  </si>
  <si>
    <t>Amber rating</t>
  </si>
  <si>
    <t>Between</t>
  </si>
  <si>
    <t>and</t>
  </si>
  <si>
    <t>Or between</t>
  </si>
  <si>
    <t xml:space="preserve">Or more than </t>
  </si>
  <si>
    <t>Light green rating</t>
  </si>
  <si>
    <t>Dark green rating</t>
  </si>
  <si>
    <t>More than</t>
  </si>
  <si>
    <t>Or less than or equal to</t>
  </si>
  <si>
    <t>Or more than</t>
  </si>
  <si>
    <t>B. Your spending as a percentage of expenditure</t>
  </si>
  <si>
    <t>Good</t>
  </si>
  <si>
    <t>Your school has been identified as:</t>
  </si>
  <si>
    <t>Size</t>
  </si>
  <si>
    <t>School is rated</t>
  </si>
  <si>
    <t>Secondary with sixth form</t>
  </si>
  <si>
    <t>Secondary without sixth form</t>
  </si>
  <si>
    <t>Special</t>
  </si>
  <si>
    <t>Alternative provision</t>
  </si>
  <si>
    <t>The thresholds for the RAG ratings are based on these characteristics and are:</t>
  </si>
  <si>
    <t>Very small</t>
  </si>
  <si>
    <t>Low FSM</t>
  </si>
  <si>
    <t>Small</t>
  </si>
  <si>
    <t>Medium</t>
  </si>
  <si>
    <t>Large</t>
  </si>
  <si>
    <t>Medium FSM</t>
  </si>
  <si>
    <t>High FSM</t>
  </si>
  <si>
    <t>London</t>
  </si>
  <si>
    <t>Non-London</t>
  </si>
  <si>
    <t>Nursery</t>
  </si>
  <si>
    <t>Sample size</t>
  </si>
  <si>
    <t>London?</t>
  </si>
  <si>
    <t>Note: all but average teacher cost are the same for type of school, despite the location</t>
  </si>
  <si>
    <t>Red if less than:</t>
  </si>
  <si>
    <t>Amber if less than:</t>
  </si>
  <si>
    <t>Dark green if between:</t>
  </si>
  <si>
    <t>Amber if more than:</t>
  </si>
  <si>
    <t>Red if more than:</t>
  </si>
  <si>
    <t>Light green for everything else</t>
  </si>
  <si>
    <t>and:</t>
  </si>
  <si>
    <t>(Median)</t>
  </si>
  <si>
    <t>This shows the average teacher cost for primary and secondary schools. All others are above</t>
  </si>
  <si>
    <t>Broadly in line with similar schools</t>
  </si>
  <si>
    <t>High risk</t>
  </si>
  <si>
    <t>Medium risk</t>
  </si>
  <si>
    <t>Low risk</t>
  </si>
  <si>
    <t>Broadly in line with recommendations</t>
  </si>
  <si>
    <t>Requires Improvement</t>
  </si>
  <si>
    <t>More than or equal to</t>
  </si>
  <si>
    <t>Full time equivalent number of teachers (classroom and leadership)</t>
  </si>
  <si>
    <t>Summary of agreed action and timetable for reporting back:</t>
  </si>
  <si>
    <t>Teaching periods in the timetable cycle</t>
  </si>
  <si>
    <t>Total number of classes</t>
  </si>
  <si>
    <t>For secondary and all-through schools:</t>
  </si>
  <si>
    <t>For primary schools:</t>
  </si>
  <si>
    <t>Outstanding</t>
  </si>
  <si>
    <t>Total lessons taught by all teachers in the timetable cycle</t>
  </si>
  <si>
    <t>Introduction to the schools resource management self-assessment tool</t>
  </si>
  <si>
    <t>The school resource management self-assessment tool helps to provide trusts with assurance that they are meeting the basic standards necessary to achieve a good
level of financial health and resource management. 
The tool can be used to identify possible areas for change to ensure that resources are being used to support high-quality teaching and the best education outcomes for pupils. The tool is in two parts:</t>
  </si>
  <si>
    <t>2. A dashboard, which shows how a school's data compares to thresholds on a range of statistics that have been identified as indicators for good resource management and outcomes. This should be completed at school level.</t>
  </si>
  <si>
    <t>Outcome of school resource management self-assessment</t>
  </si>
  <si>
    <t>Chair of trust board</t>
  </si>
  <si>
    <t>Date self-assessment agreed:</t>
  </si>
  <si>
    <r>
      <t xml:space="preserve">Guidance on completion of this document can be found </t>
    </r>
    <r>
      <rPr>
        <u/>
        <sz val="12"/>
        <color theme="8"/>
        <rFont val="Arial"/>
        <family val="2"/>
      </rPr>
      <t>h</t>
    </r>
    <r>
      <rPr>
        <u/>
        <sz val="12"/>
        <color rgb="FF0070C0"/>
        <rFont val="Arial"/>
        <family val="2"/>
      </rPr>
      <t>ere</t>
    </r>
    <r>
      <rPr>
        <sz val="12"/>
        <rFont val="Arial"/>
        <family val="2"/>
      </rPr>
      <t xml:space="preserve">. This guidance also includes examples of good practice and details further support available to assist trusts in addressing specific issues. Clicking on the individual questions below will also take you to the relevant section of the guidance. </t>
    </r>
  </si>
  <si>
    <t>Trust name:</t>
  </si>
  <si>
    <t>Is the pay of senior leaders tightly correlated to strong educational outcomes and sound financial management?</t>
  </si>
  <si>
    <t>Are there adequate arrangements in place to guard against fraud and theft by staff, contractors and suppliers?</t>
  </si>
  <si>
    <t>G. Self-assessment dashboard</t>
  </si>
  <si>
    <t>School resource management self-assessment dashboard</t>
  </si>
  <si>
    <t>School resource management self-assessment checklist</t>
  </si>
  <si>
    <t>E1</t>
  </si>
  <si>
    <t>E2</t>
  </si>
  <si>
    <t>E3</t>
  </si>
  <si>
    <t>E4</t>
  </si>
  <si>
    <t>E5</t>
  </si>
  <si>
    <t>E6</t>
  </si>
  <si>
    <t>E7</t>
  </si>
  <si>
    <t>E8</t>
  </si>
  <si>
    <t>E9</t>
  </si>
  <si>
    <t>Maintenance of premises</t>
  </si>
  <si>
    <t>Rent and rates</t>
  </si>
  <si>
    <t>Grounds maintenance</t>
  </si>
  <si>
    <t>Educational consultancy</t>
  </si>
  <si>
    <t>Auditor costs</t>
  </si>
  <si>
    <t>Administrative supplies - non educational</t>
  </si>
  <si>
    <t>Direct revenue financing (revenue contributions to capital)</t>
  </si>
  <si>
    <t>E33</t>
  </si>
  <si>
    <t>Professional services - non-curriculum</t>
  </si>
  <si>
    <t>E35</t>
  </si>
  <si>
    <t>Interest charges for loan and bank</t>
  </si>
  <si>
    <t>E36</t>
  </si>
  <si>
    <t>PFI charges</t>
  </si>
  <si>
    <t>1. A checklist, which asks a number of questions of trust boards in six areas of resource management to provide assurance that the trust  is managing its resources effectively. This should be completed at trust level.</t>
  </si>
  <si>
    <t>Teaching resources</t>
  </si>
  <si>
    <t>ICT teaching resources</t>
  </si>
  <si>
    <t>Expand the groups to see the thresholds</t>
  </si>
  <si>
    <t>PVSL</t>
  </si>
  <si>
    <t>PSL</t>
  </si>
  <si>
    <t>PML</t>
  </si>
  <si>
    <t>PLL</t>
  </si>
  <si>
    <t>PVSM</t>
  </si>
  <si>
    <t>PSM</t>
  </si>
  <si>
    <t>PMM</t>
  </si>
  <si>
    <t>PLM</t>
  </si>
  <si>
    <t>PSH</t>
  </si>
  <si>
    <t>PVSH</t>
  </si>
  <si>
    <t>PMH</t>
  </si>
  <si>
    <t>PLH</t>
  </si>
  <si>
    <t>SSSL</t>
  </si>
  <si>
    <t>SSML</t>
  </si>
  <si>
    <t>SSLL</t>
  </si>
  <si>
    <t>SSL</t>
  </si>
  <si>
    <t>SML</t>
  </si>
  <si>
    <t>SLL</t>
  </si>
  <si>
    <t>SSSM</t>
  </si>
  <si>
    <t>SSMM</t>
  </si>
  <si>
    <t>SSLM</t>
  </si>
  <si>
    <t>SSM</t>
  </si>
  <si>
    <t>SMM</t>
  </si>
  <si>
    <t>SLM</t>
  </si>
  <si>
    <t>SSSH</t>
  </si>
  <si>
    <t>SSMH</t>
  </si>
  <si>
    <t>SSLH</t>
  </si>
  <si>
    <t>SSH</t>
  </si>
  <si>
    <t>SMH</t>
  </si>
  <si>
    <t>SLH</t>
  </si>
  <si>
    <t>SPL</t>
  </si>
  <si>
    <t>APL</t>
  </si>
  <si>
    <t>SPNL</t>
  </si>
  <si>
    <t>APNL</t>
  </si>
  <si>
    <t>ATL</t>
  </si>
  <si>
    <t>ATNL</t>
  </si>
  <si>
    <t>NL</t>
  </si>
  <si>
    <t>NNL</t>
  </si>
  <si>
    <t>PL</t>
  </si>
  <si>
    <t>PNL</t>
  </si>
  <si>
    <t>SL</t>
  </si>
  <si>
    <t>SNL</t>
  </si>
  <si>
    <t>SSNL</t>
  </si>
  <si>
    <t>SSLo</t>
  </si>
  <si>
    <t>Average teacher cost</t>
  </si>
  <si>
    <t>% of pupils eligible for FSM:</t>
  </si>
  <si>
    <t>A. Information about your school(s)</t>
  </si>
  <si>
    <t>B. Spending as a percentage of total expenditure</t>
  </si>
  <si>
    <t>The school's
data</t>
  </si>
  <si>
    <t>This school is being compared to other:</t>
  </si>
  <si>
    <r>
      <t>Effective resource management is about how a trust uses its resources to drive outcomes for its pupils. A trust can improve outcomes by using its resources more effectively.</t>
    </r>
    <r>
      <rPr>
        <sz val="4"/>
        <color theme="1"/>
        <rFont val="Arial"/>
        <family val="2"/>
      </rPr>
      <t xml:space="preserve">
</t>
    </r>
    <r>
      <rPr>
        <sz val="12"/>
        <color theme="1"/>
        <rFont val="Arial"/>
        <family val="2"/>
      </rPr>
      <t xml:space="preserve">The dashboard below is designed to help trusts identify areas for improved resource management. It shows how a school compares to thresholds on a range of key indicators. </t>
    </r>
  </si>
  <si>
    <r>
      <t xml:space="preserve">Guidance on calculating or collecting the data for the school so that metrics are compared to thresholds consistently can be found </t>
    </r>
    <r>
      <rPr>
        <u/>
        <sz val="12"/>
        <color theme="4" tint="-0.249977111117893"/>
        <rFont val="Arial"/>
        <family val="2"/>
      </rPr>
      <t>here</t>
    </r>
    <r>
      <rPr>
        <sz val="12"/>
        <rFont val="Arial"/>
        <family val="2"/>
      </rPr>
      <t>. Clicking on the link next to individual indicators below will also take you to the relevant section of the guidance.</t>
    </r>
  </si>
  <si>
    <t>A</t>
  </si>
  <si>
    <t>B</t>
  </si>
  <si>
    <t>D</t>
  </si>
  <si>
    <t>E</t>
  </si>
  <si>
    <t>F</t>
  </si>
  <si>
    <t>G</t>
  </si>
  <si>
    <t>H</t>
  </si>
  <si>
    <t>I</t>
  </si>
  <si>
    <t>J</t>
  </si>
  <si>
    <t>K</t>
  </si>
  <si>
    <t>L</t>
  </si>
  <si>
    <t>M</t>
  </si>
  <si>
    <t>N</t>
  </si>
  <si>
    <t>O</t>
  </si>
  <si>
    <t>P</t>
  </si>
  <si>
    <t>Q</t>
  </si>
  <si>
    <t>S</t>
  </si>
  <si>
    <t>T</t>
  </si>
  <si>
    <t>X</t>
  </si>
  <si>
    <t>AB</t>
  </si>
  <si>
    <t>AF</t>
  </si>
  <si>
    <t>AJ</t>
  </si>
  <si>
    <t>AN</t>
  </si>
  <si>
    <t>AR</t>
  </si>
  <si>
    <t>AV</t>
  </si>
  <si>
    <t>AZ</t>
  </si>
  <si>
    <t>BD</t>
  </si>
  <si>
    <t>BH</t>
  </si>
  <si>
    <t>BL</t>
  </si>
  <si>
    <t>BP</t>
  </si>
  <si>
    <t>BT</t>
  </si>
  <si>
    <t>BX</t>
  </si>
  <si>
    <t>CB</t>
  </si>
  <si>
    <t>CF</t>
  </si>
  <si>
    <t>School name from dashboard</t>
  </si>
  <si>
    <t>School information from dashboard</t>
  </si>
  <si>
    <t>Named ranges for RAG ratings above</t>
  </si>
  <si>
    <t>CC</t>
  </si>
  <si>
    <t>RR</t>
  </si>
  <si>
    <t>RAG ratings for each school</t>
  </si>
  <si>
    <t>Information for the 'RAG rating data for your school' look ups</t>
  </si>
  <si>
    <t>RAG rating text for dashboard</t>
  </si>
  <si>
    <t>*</t>
  </si>
  <si>
    <t>Info for comparison description</t>
  </si>
  <si>
    <t>Low</t>
  </si>
  <si>
    <t>Select which school to show the RAG ratings for:</t>
  </si>
  <si>
    <t>Has the board appointed the senior executive leader as accounting officer?</t>
  </si>
  <si>
    <t>Has the board appointed a clerk who is someone other than a trustee, principal or chief executive of the trust?</t>
  </si>
  <si>
    <t>Answer
(yes, in part, no)</t>
  </si>
  <si>
    <t>How many times has the board met in the last year?</t>
  </si>
  <si>
    <t>Has the board approved a written scheme of financial delegations?</t>
  </si>
  <si>
    <t>Does the trust have a finance committee (or equivalent) with clear terms of reference and a knowledgeable and experienced chair?</t>
  </si>
  <si>
    <t>Does the trust have an audit committee?</t>
  </si>
  <si>
    <t>Are there arrangements in place to manage conflict of interest or any related party transactions?</t>
  </si>
  <si>
    <t>Has the trust published its governance arrangements on its website in accordance with the Academies Financial Handbook?</t>
  </si>
  <si>
    <t>Can the trust evidence that its 3-year financial forecast has been reviewed by the trustees before approval?</t>
  </si>
  <si>
    <t>Can the trust evidence that trustees have taken financial performance in previous years into account (e.g. adjustments for areas of significant underspend or overspend)?</t>
  </si>
  <si>
    <t>Has the board assessed its composition during the year in terms of skills, effectiveness, leadership and impact?</t>
  </si>
  <si>
    <t>Are the assumptions behind the 3-year forecast, including pupil number projections, documented?</t>
  </si>
  <si>
    <t>Does the trust set a well-informed and balanced budget each year?</t>
  </si>
  <si>
    <t>Does the budget setting process allow sufficient time for the trust board to scrutinise and challenge the information provided?</t>
  </si>
  <si>
    <t>Is the trust realistic in its pupil number projections and can it move quickly to recast the budget if the projections and the reality are materially different?</t>
  </si>
  <si>
    <t>Is end year outturn in line with budget projections, or if not, is the trust board alerted to significant variations in a timely manner, and do they result from explicitly planned changes or from genuinely unforeseeable circumstances?</t>
  </si>
  <si>
    <t>Are balances at a reasonable level and does the trust have a clear plan for using the money it plans to hold in balance at the end of each year?</t>
  </si>
  <si>
    <t>D. Staffing</t>
  </si>
  <si>
    <t>Does the trust benchmark the size of its senior leadership team annually against that of similar schools?</t>
  </si>
  <si>
    <t>Does the trust benchmark its income and expenditure and that of its schools annually against that of similar schools and investigate further where any category appears to be out of line?</t>
  </si>
  <si>
    <t>Does the trust have procedures for purchasing goods and services that both meet legal requirements and secure value for money?</t>
  </si>
  <si>
    <t>Are the internal scrutiny arrangements, as defined in the Academies Financial Handbook, adhered to?</t>
  </si>
  <si>
    <r>
      <t xml:space="preserve">Input the school's percentages and ratios directly below, or </t>
    </r>
    <r>
      <rPr>
        <u/>
        <sz val="12"/>
        <color theme="4" tint="-0.249977111117893"/>
        <rFont val="Arial"/>
        <family val="2"/>
      </rPr>
      <t>click here</t>
    </r>
    <r>
      <rPr>
        <sz val="12"/>
        <color theme="1"/>
        <rFont val="Arial"/>
        <family val="2"/>
      </rPr>
      <t xml:space="preserve"> to input raw spending and characteristics data for this school</t>
    </r>
  </si>
  <si>
    <r>
      <rPr>
        <b/>
        <sz val="12"/>
        <rFont val="Arial"/>
        <family val="2"/>
      </rPr>
      <t>Using the results from the dashboard</t>
    </r>
    <r>
      <rPr>
        <sz val="8"/>
        <rFont val="Arial"/>
        <family val="2"/>
      </rPr>
      <t xml:space="preserve">
</t>
    </r>
    <r>
      <rPr>
        <u/>
        <sz val="12"/>
        <color theme="4" tint="-0.249977111117893"/>
        <rFont val="Arial"/>
        <family val="2"/>
      </rPr>
      <t>Click here</t>
    </r>
    <r>
      <rPr>
        <sz val="12"/>
        <rFont val="Arial"/>
        <family val="2"/>
      </rPr>
      <t xml:space="preserve"> for explanations of what the red, amber and green (RAG) ratings mean and what do
with the results.</t>
    </r>
  </si>
  <si>
    <r>
      <t xml:space="preserve">Input the raw spending and characteristics data for this school below, or </t>
    </r>
    <r>
      <rPr>
        <u/>
        <sz val="12"/>
        <color theme="4" tint="-0.249977111117893"/>
        <rFont val="Arial"/>
        <family val="2"/>
      </rPr>
      <t>click here</t>
    </r>
    <r>
      <rPr>
        <sz val="12"/>
        <rFont val="Arial"/>
        <family val="2"/>
      </rPr>
      <t xml:space="preserve"> to input the school's percentages and ratios directly into the dashboard</t>
    </r>
  </si>
  <si>
    <r>
      <t>This form can be used to input raw spend and characteristics information. If used, the information in this table will be used to calculate the percentages and ratios required in the dashboard. The percentages and ratios can also be inputted directly into the dashboard.</t>
    </r>
    <r>
      <rPr>
        <sz val="10"/>
        <color theme="1"/>
        <rFont val="Arial"/>
        <family val="2"/>
      </rPr>
      <t xml:space="preserve">
</t>
    </r>
    <r>
      <rPr>
        <sz val="12"/>
        <color theme="1"/>
        <rFont val="Arial"/>
        <family val="2"/>
      </rPr>
      <t xml:space="preserve">
Schools should use the most up to date information available to them, and not rely on lagged published data.</t>
    </r>
    <r>
      <rPr>
        <sz val="10"/>
        <color theme="1"/>
        <rFont val="Arial"/>
        <family val="2"/>
      </rPr>
      <t xml:space="preserve">
</t>
    </r>
    <r>
      <rPr>
        <sz val="12"/>
        <color theme="1"/>
        <rFont val="Arial"/>
        <family val="2"/>
      </rPr>
      <t>All of the data should refer to the same financial year.</t>
    </r>
    <r>
      <rPr>
        <sz val="10"/>
        <color theme="1"/>
        <rFont val="Arial"/>
        <family val="2"/>
      </rPr>
      <t xml:space="preserve">
</t>
    </r>
    <r>
      <rPr>
        <sz val="12"/>
        <color theme="1"/>
        <rFont val="Arial"/>
        <family val="2"/>
      </rPr>
      <t xml:space="preserve">Add up to 20 schools by using the </t>
    </r>
    <r>
      <rPr>
        <b/>
        <sz val="12"/>
        <color theme="1"/>
        <rFont val="Arial"/>
        <family val="2"/>
      </rPr>
      <t>Click here to add another school</t>
    </r>
    <r>
      <rPr>
        <sz val="12"/>
        <color theme="1"/>
        <rFont val="Arial"/>
        <family val="2"/>
      </rPr>
      <t xml:space="preserve"> buttons. Macros must be enabled for this feature.</t>
    </r>
  </si>
  <si>
    <t>Has the board got a plan in place to address any gaps in its capabilities through recruitment, induction, training or other development activity?</t>
  </si>
  <si>
    <t>Has the board appointed a qualified and/or experienced chief financial officer?</t>
  </si>
  <si>
    <t xml:space="preserve">Does the trust review and challenge its staffing structure regularly to ensure it is the best structure to meet the needs of the trust whilst maintaining financial integrity? </t>
  </si>
  <si>
    <t>Are the trustees given the opportunity to challenge their staff’s  plans for replacing contracts for goods and services that are due to expire shortly?</t>
  </si>
  <si>
    <t>Does the trust consider collaboration with others, for example on sharing staff or joint purchasing, where that would improve value for money?</t>
  </si>
  <si>
    <t>Does the trust maintain its premises and other assets to an adequate standard and make best use of capital monies for this purpose?</t>
  </si>
  <si>
    <t>Are the trustees sure that there are no outstanding matters from audit reports?</t>
  </si>
  <si>
    <t>Does the trust have an accounting system that is adequate and properly run and delivers accurate reports, including the required returns to ESFA?</t>
  </si>
  <si>
    <t>Are all staff aware of the trust’s whistleblowing arrangements and to whom they should report concerns?</t>
  </si>
  <si>
    <t>6A</t>
  </si>
  <si>
    <t>6B</t>
  </si>
  <si>
    <t xml:space="preserve">F. Protecting public money </t>
  </si>
  <si>
    <t>B. Trust financial strategy</t>
  </si>
  <si>
    <t>C. Setting the annual budget</t>
  </si>
  <si>
    <t>E. Value for money</t>
  </si>
  <si>
    <t>Trusts should answer each question with 'yes', 'no', or 'in part' from the drop down lists provided. If a trust answers 'no' or 'in part' to a question, they must provide a target date and comments. Trusts may also provide comments, evidence and proposed actions for 'yes' answers.</t>
  </si>
  <si>
    <t>Target date</t>
  </si>
  <si>
    <r>
      <t xml:space="preserve">If less than 6 times, has the board explained in the governance statement how it has maintained effective oversight?
</t>
    </r>
    <r>
      <rPr>
        <i/>
        <sz val="12"/>
        <rFont val="Arial"/>
        <family val="2"/>
      </rPr>
      <t>(Not applicable answer available)</t>
    </r>
  </si>
  <si>
    <r>
      <t xml:space="preserve">If a cumulative deficit has been forecast within the 3-year budget, is there a plan to mitigate it?
</t>
    </r>
    <r>
      <rPr>
        <i/>
        <sz val="12"/>
        <rFont val="Arial"/>
        <family val="2"/>
      </rPr>
      <t>(Not applicable answer available)</t>
    </r>
  </si>
  <si>
    <t>From autumn 2019, completion of the self-assessment tool is compulsory for all academy trusts. The checklist must be submitted to the ESFA using the online form, which will be made available in October. The dashboard must be completed but trusts are not required to submit it.</t>
  </si>
  <si>
    <r>
      <t>The checklist asks a number of questions of trust boards in six areas of resource management to help provide assurance that resources are being managed effectively.</t>
    </r>
    <r>
      <rPr>
        <sz val="8"/>
        <rFont val="Arial"/>
        <family val="2"/>
      </rPr>
      <t xml:space="preserve"> 
</t>
    </r>
    <r>
      <rPr>
        <b/>
        <sz val="12"/>
        <rFont val="Arial"/>
        <family val="2"/>
      </rPr>
      <t>The mandatory return of the self-assessment tool must be submitted to the ESFA using an online form.</t>
    </r>
    <r>
      <rPr>
        <sz val="12"/>
        <rFont val="Arial"/>
        <family val="2"/>
      </rPr>
      <t xml:space="preserve"> The online form will be available in October. The deadline for submission is 14 November 2019. This downloaded form can be used to prepare for the return or to assess use of resources at various points throughout the year.</t>
    </r>
    <r>
      <rPr>
        <sz val="8"/>
        <rFont val="Arial"/>
        <family val="2"/>
      </rPr>
      <t xml:space="preserve">
</t>
    </r>
    <r>
      <rPr>
        <sz val="12"/>
        <rFont val="Arial"/>
        <family val="2"/>
      </rPr>
      <t xml:space="preserve">The checklist should be completed at academy trust level. </t>
    </r>
  </si>
  <si>
    <t>Is the financial strategy integrated with the trust's strategy for raising standards and attainment?</t>
  </si>
  <si>
    <t>Does the trust compare its non-staff expenditure against the DfE recommended national deals to ensure you are achieving best value for money?</t>
  </si>
  <si>
    <t>Does the trust have an appropriate business continuity or disaster recovery plan, including an up-to-date asset register and adequate insurance?</t>
  </si>
  <si>
    <r>
      <t xml:space="preserve">Have the results of the self-assessment dashboard been carefully considered and potential follow-up actions identified?
</t>
    </r>
    <r>
      <rPr>
        <i/>
        <sz val="12"/>
        <rFont val="Arial"/>
        <family val="2"/>
      </rPr>
      <t>(Not applicable for sixth form colleges)</t>
    </r>
  </si>
  <si>
    <r>
      <rPr>
        <sz val="4"/>
        <color theme="1"/>
        <rFont val="Arial"/>
        <family val="2"/>
      </rPr>
      <t xml:space="preserve">
</t>
    </r>
    <r>
      <rPr>
        <b/>
        <sz val="12"/>
        <color theme="1"/>
        <rFont val="Arial"/>
        <family val="2"/>
      </rPr>
      <t>Using the dashboard</t>
    </r>
    <r>
      <rPr>
        <b/>
        <sz val="6"/>
        <color theme="1"/>
        <rFont val="Arial"/>
        <family val="2"/>
      </rPr>
      <t xml:space="preserve">
</t>
    </r>
    <r>
      <rPr>
        <sz val="12"/>
        <color theme="1"/>
        <rFont val="Arial"/>
        <family val="2"/>
      </rPr>
      <t>The dashboard data should be completed at school level. Sixth form colleges do not need to complete the dashboard.</t>
    </r>
    <r>
      <rPr>
        <sz val="4"/>
        <color theme="1"/>
        <rFont val="Arial"/>
        <family val="2"/>
      </rPr>
      <t xml:space="preserve">
</t>
    </r>
    <r>
      <rPr>
        <sz val="12"/>
        <color theme="1"/>
        <rFont val="Arial"/>
        <family val="2"/>
      </rPr>
      <t>Schools and trusts should use the most up to date data available to them, and not rely on lagged published data.</t>
    </r>
    <r>
      <rPr>
        <b/>
        <sz val="4"/>
        <color theme="1"/>
        <rFont val="Arial"/>
        <family val="2"/>
      </rPr>
      <t xml:space="preserve">
</t>
    </r>
    <r>
      <rPr>
        <sz val="12"/>
        <color theme="1"/>
        <rFont val="Arial"/>
        <family val="2"/>
      </rPr>
      <t>Complete all highlighted cells</t>
    </r>
    <r>
      <rPr>
        <b/>
        <sz val="12"/>
        <color theme="1"/>
        <rFont val="Arial"/>
        <family val="2"/>
      </rPr>
      <t>.</t>
    </r>
  </si>
  <si>
    <t>The RAG ratings have been calculated using maintained school and academy 2017 to 18 data.
The majority of metrics in the dashboard are percentages and ratios which at a national level don't change significantly year on year, so they still provide a fair and useful comparison with your up to date data.
The exception is average teacher cost, which does change year on year. To reflect the latest pay awards (from September 2018 and September 2019) and pensions contribution changes we have uplifted the underlying data by 11.2%. The thresholds therefore reflect average teacher costs for the academic year 2019/20.</t>
  </si>
  <si>
    <t>Q1 guidance</t>
  </si>
  <si>
    <t>Q2 guidance</t>
  </si>
  <si>
    <t>Q3 guidance</t>
  </si>
  <si>
    <t>Q4 guidance</t>
  </si>
  <si>
    <t>Q5 guidance</t>
  </si>
  <si>
    <t>Q6 guidance</t>
  </si>
  <si>
    <t>Q7 guidance</t>
  </si>
  <si>
    <t>Q8 guidance</t>
  </si>
  <si>
    <t>Q9 guidance</t>
  </si>
  <si>
    <t>Q10 guidance</t>
  </si>
  <si>
    <t>Q11 guidance</t>
  </si>
  <si>
    <t>Q12 guidance</t>
  </si>
  <si>
    <t>Q13 guidance</t>
  </si>
  <si>
    <t>Q14 guidance</t>
  </si>
  <si>
    <t>Q15 guidance</t>
  </si>
  <si>
    <t>Q16 guidance</t>
  </si>
  <si>
    <t>Q17 guidance</t>
  </si>
  <si>
    <t>Q18 guidance</t>
  </si>
  <si>
    <t>Q19 guidance</t>
  </si>
  <si>
    <t>Q20 guidance</t>
  </si>
  <si>
    <t>Q21 guidance</t>
  </si>
  <si>
    <t>Q22 guidance</t>
  </si>
  <si>
    <t>Q23 guidance</t>
  </si>
  <si>
    <t>Q24 guidance</t>
  </si>
  <si>
    <t>Q25 guidance</t>
  </si>
  <si>
    <t>Q26 guidance</t>
  </si>
  <si>
    <t>Q27 guidance</t>
  </si>
  <si>
    <t>Q28 guidance</t>
  </si>
  <si>
    <t>Q29 guidance</t>
  </si>
  <si>
    <t>Q30 guidance</t>
  </si>
  <si>
    <t>Q31 guidance</t>
  </si>
  <si>
    <t>Q32 guidance</t>
  </si>
  <si>
    <t>Q33 guidance</t>
  </si>
  <si>
    <t>Q34 guidance</t>
  </si>
  <si>
    <t>Q35 guidance</t>
  </si>
  <si>
    <t>Q36 guidance</t>
  </si>
  <si>
    <t>Q37 guidance</t>
  </si>
  <si>
    <r>
      <t xml:space="preserve">Add up to 20 schools by using the </t>
    </r>
    <r>
      <rPr>
        <b/>
        <sz val="12"/>
        <color theme="1"/>
        <rFont val="Arial"/>
        <family val="2"/>
      </rPr>
      <t>Click here to add another school</t>
    </r>
    <r>
      <rPr>
        <sz val="12"/>
        <color theme="1"/>
        <rFont val="Arial"/>
        <family val="2"/>
      </rPr>
      <t xml:space="preserve"> buttons. Macros must be enabled for this feature.</t>
    </r>
  </si>
  <si>
    <r>
      <t xml:space="preserve">Either input the school's percentages and ratios directly, or complete the </t>
    </r>
    <r>
      <rPr>
        <u/>
        <sz val="12"/>
        <color theme="4" tint="-0.249977111117893"/>
        <rFont val="Arial"/>
        <family val="2"/>
      </rPr>
      <t>Optional - input raw data</t>
    </r>
    <r>
      <rPr>
        <sz val="12"/>
        <rFont val="Arial"/>
        <family val="2"/>
      </rPr>
      <t xml:space="preserve"> form with spending information and school characteristics. The percentages and ratios in the dashboard will then auto-calculate.</t>
    </r>
  </si>
  <si>
    <t>Yes</t>
  </si>
  <si>
    <t>Not applicable</t>
  </si>
  <si>
    <t>As well as the operational needs of the school</t>
  </si>
  <si>
    <t>On major contracts such as catering and cleaning, trustee representatives are included on the decision making committee. Smaller contracts are negotiated on an operational level and reviewed by trustees on the Resources committee regularly.</t>
  </si>
  <si>
    <t>Shenfield High School</t>
  </si>
  <si>
    <t>East of England</t>
  </si>
  <si>
    <t xml:space="preserve">This will be documented in the financial statements </t>
  </si>
  <si>
    <t>In the Financial Regulations</t>
  </si>
  <si>
    <t>Within Resources ToR</t>
  </si>
  <si>
    <t xml:space="preserve">GDPR support negotiated ASHE discount. </t>
  </si>
  <si>
    <t>Purchasing frameworks and consortiums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</si>
</sst>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
    <numFmt numFmtId="167" formatCode="#,##0.0"/>
  </numFmts>
  <fonts count="35"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1"/>
      <color theme="1"/>
      <name val="Arial"/>
      <family val="2"/>
    </font>
    <font>
      <b/>
      <sz val="14"/>
      <color theme="1"/>
      <name val="Arial"/>
      <family val="2"/>
    </font>
    <font>
      <sz val="12"/>
      <name val="Arial"/>
      <family val="2"/>
    </font>
    <font>
      <b/>
      <sz val="12"/>
      <color theme="1"/>
      <name val="Arial"/>
      <family val="2"/>
    </font>
    <font>
      <sz val="12"/>
      <color theme="1"/>
      <name val="Arial"/>
      <family val="2"/>
    </font>
    <font>
      <b/>
      <sz val="12"/>
      <color rgb="FFFF0000"/>
      <name val="Arial"/>
      <family val="2"/>
    </font>
    <font>
      <b/>
      <sz val="12"/>
      <color theme="0"/>
      <name val="Arial"/>
      <family val="2"/>
    </font>
    <font>
      <u/>
      <sz val="11"/>
      <color theme="10"/>
      <name val="Calibri"/>
      <family val="2"/>
      <scheme val="minor"/>
    </font>
    <font>
      <u/>
      <sz val="12"/>
      <color theme="10"/>
      <name val="Arial"/>
      <family val="2"/>
    </font>
    <font>
      <u/>
      <sz val="12"/>
      <color rgb="FF0070C0"/>
      <name val="Arial"/>
      <family val="2"/>
    </font>
    <font>
      <i/>
      <sz val="12"/>
      <color theme="1"/>
      <name val="Arial"/>
      <family val="2"/>
    </font>
    <font>
      <sz val="12"/>
      <color theme="0" tint="-0.499984740745262"/>
      <name val="Arial"/>
      <family val="2"/>
    </font>
    <font>
      <sz val="11"/>
      <color rgb="FFFF0000"/>
      <name val="Arial"/>
      <family val="2"/>
    </font>
    <font>
      <u/>
      <sz val="12"/>
      <color theme="8"/>
      <name val="Arial"/>
      <family val="2"/>
    </font>
    <font>
      <b/>
      <i/>
      <sz val="12"/>
      <color theme="1"/>
      <name val="Arial"/>
      <family val="2"/>
    </font>
    <font>
      <u/>
      <sz val="12"/>
      <color theme="1"/>
      <name val="Arial"/>
      <family val="2"/>
    </font>
    <font>
      <strike/>
      <sz val="11"/>
      <color theme="1"/>
      <name val="Arial"/>
      <family val="2"/>
    </font>
    <font>
      <sz val="12"/>
      <color theme="0"/>
      <name val="Arial"/>
      <family val="2"/>
    </font>
    <font>
      <sz val="4"/>
      <color theme="1"/>
      <name val="Arial"/>
      <family val="2"/>
    </font>
    <font>
      <u/>
      <sz val="12"/>
      <color theme="4" tint="-0.249977111117893"/>
      <name val="Arial"/>
      <family val="2"/>
    </font>
    <font>
      <b/>
      <sz val="4"/>
      <color theme="1"/>
      <name val="Arial"/>
      <family val="2"/>
    </font>
    <font>
      <b/>
      <sz val="12"/>
      <name val="Arial"/>
      <family val="2"/>
    </font>
    <font>
      <sz val="11"/>
      <color theme="0"/>
      <name val="Arial"/>
      <family val="2"/>
    </font>
    <font>
      <b/>
      <sz val="11"/>
      <color theme="0"/>
      <name val="Arial"/>
      <family val="2"/>
    </font>
    <font>
      <sz val="11"/>
      <name val="Arial"/>
      <family val="2"/>
    </font>
    <font>
      <sz val="11"/>
      <color theme="0" tint="-0.499984740745262"/>
      <name val="Arial"/>
      <family val="2"/>
    </font>
    <font>
      <sz val="10"/>
      <name val="Arial"/>
      <family val="2"/>
    </font>
    <font>
      <sz val="10"/>
      <color theme="1"/>
      <name val="Arial"/>
      <family val="2"/>
    </font>
    <font>
      <sz val="8"/>
      <name val="Arial"/>
      <family val="2"/>
    </font>
    <font>
      <i/>
      <sz val="12"/>
      <name val="Arial"/>
      <family val="2"/>
    </font>
    <font>
      <b/>
      <sz val="6"/>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104F75"/>
        <bgColor indexed="64"/>
      </patternFill>
    </fill>
    <fill>
      <patternFill patternType="solid">
        <fgColor rgb="FFE8D3D4"/>
        <bgColor indexed="64"/>
      </patternFill>
    </fill>
    <fill>
      <patternFill patternType="solid">
        <fgColor rgb="FFED878E"/>
        <bgColor indexed="64"/>
      </patternFill>
    </fill>
    <fill>
      <patternFill patternType="solid">
        <fgColor rgb="FFC0DDAD"/>
        <bgColor indexed="64"/>
      </patternFill>
    </fill>
    <fill>
      <patternFill patternType="solid">
        <fgColor rgb="FFFFD961"/>
        <bgColor indexed="64"/>
      </patternFill>
    </fill>
    <fill>
      <patternFill patternType="solid">
        <fgColor rgb="FF73B04A"/>
        <bgColor indexed="64"/>
      </patternFill>
    </fill>
    <fill>
      <patternFill patternType="solid">
        <fgColor theme="0" tint="-4.9989318521683403E-2"/>
        <bgColor indexed="64"/>
      </patternFill>
    </fill>
    <fill>
      <patternFill patternType="solid">
        <fgColor theme="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367">
    <xf numFmtId="0" fontId="0" fillId="0" borderId="0" xfId="0"/>
    <xf numFmtId="0" fontId="2" fillId="0" borderId="0" xfId="0" applyFont="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2" fillId="0" borderId="0" xfId="0" applyFont="1" applyBorder="1" applyProtection="1">
      <protection hidden="1"/>
    </xf>
    <xf numFmtId="0" fontId="2" fillId="0" borderId="15" xfId="0" applyFont="1" applyBorder="1" applyProtection="1">
      <protection hidden="1"/>
    </xf>
    <xf numFmtId="0" fontId="2" fillId="0" borderId="16" xfId="0" applyFont="1" applyBorder="1" applyProtection="1">
      <protection hidden="1"/>
    </xf>
    <xf numFmtId="0" fontId="4" fillId="0" borderId="0" xfId="0" applyFont="1" applyBorder="1" applyAlignment="1" applyProtection="1">
      <alignment vertical="center"/>
      <protection hidden="1"/>
    </xf>
    <xf numFmtId="0" fontId="2" fillId="0" borderId="16"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Border="1" applyAlignment="1" applyProtection="1">
      <alignment horizontal="right" indent="1"/>
      <protection hidden="1"/>
    </xf>
    <xf numFmtId="0" fontId="8"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protection hidden="1"/>
    </xf>
    <xf numFmtId="0" fontId="2" fillId="0" borderId="17" xfId="0" applyFont="1" applyBorder="1" applyProtection="1">
      <protection hidden="1"/>
    </xf>
    <xf numFmtId="0" fontId="2" fillId="0" borderId="18" xfId="0" applyFont="1" applyBorder="1" applyProtection="1">
      <protection hidden="1"/>
    </xf>
    <xf numFmtId="0" fontId="2" fillId="0" borderId="19" xfId="0" applyFont="1" applyBorder="1" applyProtection="1">
      <protection hidden="1"/>
    </xf>
    <xf numFmtId="0" fontId="8" fillId="0" borderId="15" xfId="0" applyFont="1" applyBorder="1" applyProtection="1">
      <protection hidden="1"/>
    </xf>
    <xf numFmtId="0" fontId="8" fillId="0" borderId="0" xfId="0" applyFont="1" applyBorder="1" applyAlignment="1" applyProtection="1">
      <alignment wrapText="1"/>
      <protection hidden="1"/>
    </xf>
    <xf numFmtId="0" fontId="8" fillId="0" borderId="0" xfId="0" applyFont="1" applyBorder="1" applyAlignment="1" applyProtection="1">
      <alignment horizontal="center" wrapText="1"/>
      <protection hidden="1"/>
    </xf>
    <xf numFmtId="0" fontId="8" fillId="0" borderId="16" xfId="0" applyFont="1" applyBorder="1" applyProtection="1">
      <protection hidden="1"/>
    </xf>
    <xf numFmtId="0" fontId="8" fillId="0" borderId="0" xfId="0" applyFont="1" applyProtection="1">
      <protection hidden="1"/>
    </xf>
    <xf numFmtId="0" fontId="8" fillId="0" borderId="15"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21" xfId="0" quotePrefix="1" applyFont="1" applyBorder="1" applyAlignment="1" applyProtection="1">
      <alignment horizontal="left" vertical="center"/>
      <protection hidden="1"/>
    </xf>
    <xf numFmtId="164" fontId="8" fillId="0" borderId="0" xfId="0" applyNumberFormat="1" applyFont="1" applyBorder="1" applyAlignment="1" applyProtection="1">
      <alignment horizontal="right" indent="1"/>
      <protection hidden="1"/>
    </xf>
    <xf numFmtId="10" fontId="8" fillId="0" borderId="0" xfId="0" applyNumberFormat="1" applyFont="1" applyProtection="1">
      <protection hidden="1"/>
    </xf>
    <xf numFmtId="0" fontId="8" fillId="0" borderId="21" xfId="0" applyFont="1" applyBorder="1" applyAlignment="1" applyProtection="1">
      <alignment horizontal="left" vertical="center"/>
      <protection hidden="1"/>
    </xf>
    <xf numFmtId="0" fontId="8" fillId="0" borderId="17" xfId="0" applyFont="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18" xfId="0" applyFont="1" applyBorder="1" applyProtection="1">
      <protection hidden="1"/>
    </xf>
    <xf numFmtId="164" fontId="8" fillId="0" borderId="20" xfId="0" applyNumberFormat="1" applyFont="1" applyBorder="1" applyAlignment="1" applyProtection="1">
      <alignment horizontal="center" vertical="center"/>
      <protection hidden="1"/>
    </xf>
    <xf numFmtId="164" fontId="8" fillId="0" borderId="18" xfId="0" applyNumberFormat="1" applyFont="1" applyBorder="1" applyAlignment="1" applyProtection="1">
      <alignment horizontal="right" indent="1"/>
      <protection hidden="1"/>
    </xf>
    <xf numFmtId="0" fontId="8" fillId="0" borderId="18" xfId="0" applyFont="1" applyBorder="1" applyAlignment="1" applyProtection="1">
      <alignment horizontal="center" vertical="center"/>
      <protection hidden="1"/>
    </xf>
    <xf numFmtId="0" fontId="8" fillId="0" borderId="19" xfId="0" applyFont="1" applyBorder="1" applyProtection="1">
      <protection hidden="1"/>
    </xf>
    <xf numFmtId="164" fontId="2" fillId="0" borderId="0" xfId="0" applyNumberFormat="1" applyFont="1" applyBorder="1" applyAlignment="1" applyProtection="1">
      <alignment horizontal="right" vertical="center" indent="1"/>
      <protection hidden="1"/>
    </xf>
    <xf numFmtId="164" fontId="2" fillId="0" borderId="0" xfId="0" applyNumberFormat="1" applyFont="1" applyBorder="1" applyAlignment="1" applyProtection="1">
      <alignment horizontal="right" indent="1"/>
      <protection hidden="1"/>
    </xf>
    <xf numFmtId="0" fontId="2" fillId="0" borderId="0" xfId="0" applyFont="1" applyBorder="1" applyAlignment="1" applyProtection="1">
      <alignment horizontal="center" vertical="center"/>
      <protection hidden="1"/>
    </xf>
    <xf numFmtId="10" fontId="2" fillId="0" borderId="0" xfId="0" applyNumberFormat="1" applyFont="1" applyProtection="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8" fillId="0" borderId="0" xfId="0" applyFont="1" applyBorder="1" applyAlignment="1" applyProtection="1">
      <alignment horizontal="left" vertical="top" wrapText="1" indent="2"/>
      <protection hidden="1"/>
    </xf>
    <xf numFmtId="0" fontId="7" fillId="0" borderId="0" xfId="0" applyFont="1" applyBorder="1" applyAlignment="1" applyProtection="1">
      <alignment horizontal="left" vertical="center" indent="1"/>
      <protection hidden="1"/>
    </xf>
    <xf numFmtId="164" fontId="8" fillId="0" borderId="18" xfId="0" applyNumberFormat="1" applyFont="1" applyBorder="1" applyAlignment="1" applyProtection="1">
      <alignment horizontal="center" vertical="center"/>
      <protection hidden="1"/>
    </xf>
    <xf numFmtId="164" fontId="8" fillId="4" borderId="21" xfId="0" applyNumberFormat="1" applyFont="1" applyFill="1" applyBorder="1" applyAlignment="1" applyProtection="1">
      <alignment horizontal="center" vertical="center" wrapText="1"/>
      <protection locked="0" hidden="1"/>
    </xf>
    <xf numFmtId="0" fontId="8" fillId="0" borderId="0" xfId="0" applyFont="1" applyBorder="1" applyAlignment="1" applyProtection="1">
      <alignment horizontal="left" vertical="center" indent="1"/>
      <protection hidden="1"/>
    </xf>
    <xf numFmtId="0" fontId="12" fillId="0" borderId="0" xfId="2" applyFont="1" applyBorder="1" applyAlignment="1" applyProtection="1">
      <alignment horizontal="left" vertical="center"/>
      <protection locked="0" hidden="1"/>
    </xf>
    <xf numFmtId="0" fontId="7" fillId="0" borderId="0" xfId="0" applyFont="1" applyBorder="1" applyAlignment="1" applyProtection="1">
      <alignment horizontal="left" vertical="center"/>
      <protection hidden="1"/>
    </xf>
    <xf numFmtId="0" fontId="8" fillId="0" borderId="0" xfId="0" applyFont="1"/>
    <xf numFmtId="0" fontId="8" fillId="0" borderId="0" xfId="0" applyFont="1" applyAlignment="1">
      <alignment vertical="center"/>
    </xf>
    <xf numFmtId="0" fontId="8" fillId="0" borderId="3" xfId="0" applyFont="1" applyBorder="1" applyAlignment="1">
      <alignment horizontal="left" vertical="center" indent="1"/>
    </xf>
    <xf numFmtId="0" fontId="8" fillId="0" borderId="0" xfId="0" applyFont="1" applyAlignment="1">
      <alignment horizontal="left" vertical="center" indent="1"/>
    </xf>
    <xf numFmtId="0" fontId="8" fillId="0" borderId="21" xfId="0" applyFont="1" applyBorder="1" applyAlignment="1">
      <alignment horizontal="center" vertical="center"/>
    </xf>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0" xfId="0" applyFont="1" applyBorder="1"/>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horizontal="left" vertical="center" indent="1"/>
    </xf>
    <xf numFmtId="0" fontId="8" fillId="0" borderId="17" xfId="0" applyFont="1" applyBorder="1"/>
    <xf numFmtId="0" fontId="8" fillId="0" borderId="18" xfId="0" applyFont="1" applyBorder="1"/>
    <xf numFmtId="0" fontId="8" fillId="0" borderId="19" xfId="0" applyFont="1" applyBorder="1"/>
    <xf numFmtId="0" fontId="10" fillId="3" borderId="0" xfId="0" applyFont="1" applyFill="1" applyAlignment="1">
      <alignment vertical="center"/>
    </xf>
    <xf numFmtId="0" fontId="10" fillId="3" borderId="0" xfId="0" applyFont="1" applyFill="1" applyBorder="1" applyAlignment="1">
      <alignment vertical="center"/>
    </xf>
    <xf numFmtId="0" fontId="14" fillId="0" borderId="0" xfId="0" applyFont="1" applyBorder="1" applyAlignment="1">
      <alignment vertical="center"/>
    </xf>
    <xf numFmtId="0" fontId="8"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0" fontId="8" fillId="0" borderId="1" xfId="0" applyFont="1" applyBorder="1" applyAlignment="1">
      <alignment horizontal="left" indent="1"/>
    </xf>
    <xf numFmtId="164" fontId="8" fillId="5" borderId="21" xfId="1" applyNumberFormat="1" applyFont="1" applyFill="1" applyBorder="1"/>
    <xf numFmtId="164" fontId="8" fillId="7" borderId="21" xfId="1" applyNumberFormat="1" applyFont="1" applyFill="1" applyBorder="1"/>
    <xf numFmtId="164" fontId="6" fillId="8" borderId="21" xfId="1" applyNumberFormat="1" applyFont="1" applyFill="1" applyBorder="1"/>
    <xf numFmtId="164" fontId="15" fillId="0" borderId="21" xfId="1" applyNumberFormat="1" applyFont="1" applyFill="1" applyBorder="1"/>
    <xf numFmtId="0" fontId="8" fillId="0" borderId="1" xfId="0" applyFont="1" applyFill="1" applyBorder="1" applyAlignment="1">
      <alignment horizontal="left" indent="1"/>
    </xf>
    <xf numFmtId="165" fontId="8" fillId="5" borderId="21" xfId="0" applyNumberFormat="1" applyFont="1" applyFill="1" applyBorder="1"/>
    <xf numFmtId="165" fontId="8" fillId="7" borderId="21" xfId="0" applyNumberFormat="1" applyFont="1" applyFill="1" applyBorder="1"/>
    <xf numFmtId="165" fontId="6" fillId="8" borderId="21" xfId="1" applyNumberFormat="1" applyFont="1" applyFill="1" applyBorder="1" applyAlignment="1">
      <alignment horizontal="right"/>
    </xf>
    <xf numFmtId="165" fontId="15" fillId="0" borderId="21" xfId="1" applyNumberFormat="1" applyFont="1" applyFill="1" applyBorder="1" applyAlignment="1">
      <alignment horizontal="right"/>
    </xf>
    <xf numFmtId="3" fontId="8" fillId="0" borderId="0" xfId="0" applyNumberFormat="1" applyFont="1" applyAlignment="1">
      <alignment horizontal="center"/>
    </xf>
    <xf numFmtId="0" fontId="8" fillId="0" borderId="0" xfId="0" applyFont="1" applyFill="1" applyAlignment="1">
      <alignment horizontal="center"/>
    </xf>
    <xf numFmtId="0" fontId="8" fillId="0" borderId="0" xfId="0" quotePrefix="1" applyFont="1"/>
    <xf numFmtId="166" fontId="8" fillId="5" borderId="21" xfId="0" applyNumberFormat="1" applyFont="1" applyFill="1" applyBorder="1"/>
    <xf numFmtId="166" fontId="8" fillId="7" borderId="21" xfId="0" applyNumberFormat="1" applyFont="1" applyFill="1" applyBorder="1"/>
    <xf numFmtId="166" fontId="6" fillId="8" borderId="21" xfId="1" applyNumberFormat="1" applyFont="1" applyFill="1" applyBorder="1"/>
    <xf numFmtId="166" fontId="15" fillId="0" borderId="21" xfId="1" applyNumberFormat="1" applyFont="1" applyFill="1" applyBorder="1"/>
    <xf numFmtId="167" fontId="8" fillId="4" borderId="21" xfId="0" applyNumberFormat="1" applyFont="1" applyFill="1" applyBorder="1" applyAlignment="1" applyProtection="1">
      <alignment horizontal="right" vertical="center" indent="1"/>
      <protection locked="0"/>
    </xf>
    <xf numFmtId="166" fontId="8" fillId="4" borderId="21" xfId="0" applyNumberFormat="1" applyFont="1" applyFill="1" applyBorder="1" applyAlignment="1" applyProtection="1">
      <alignment horizontal="right" vertical="center" indent="1"/>
      <protection locked="0"/>
    </xf>
    <xf numFmtId="3" fontId="8" fillId="4" borderId="21" xfId="0" applyNumberFormat="1" applyFont="1" applyFill="1" applyBorder="1" applyAlignment="1" applyProtection="1">
      <alignment horizontal="right" vertical="center" indent="1"/>
      <protection locked="0"/>
    </xf>
    <xf numFmtId="0" fontId="8" fillId="0" borderId="4" xfId="0" applyFont="1" applyBorder="1" applyProtection="1">
      <protection hidden="1"/>
    </xf>
    <xf numFmtId="0" fontId="7" fillId="0" borderId="6" xfId="0" applyFont="1" applyBorder="1" applyAlignment="1" applyProtection="1">
      <alignment horizontal="right" indent="1"/>
      <protection hidden="1"/>
    </xf>
    <xf numFmtId="0" fontId="7" fillId="0" borderId="5" xfId="0" applyFont="1" applyBorder="1" applyAlignment="1" applyProtection="1">
      <alignment horizontal="right" indent="1"/>
      <protection hidden="1"/>
    </xf>
    <xf numFmtId="0" fontId="8" fillId="0" borderId="5" xfId="0" applyFont="1" applyBorder="1" applyProtection="1">
      <protection hidden="1"/>
    </xf>
    <xf numFmtId="0" fontId="7" fillId="0" borderId="9" xfId="0" applyFont="1" applyBorder="1" applyProtection="1">
      <protection hidden="1"/>
    </xf>
    <xf numFmtId="0" fontId="8" fillId="0" borderId="11" xfId="0" applyFont="1" applyBorder="1" applyProtection="1">
      <protection hidden="1"/>
    </xf>
    <xf numFmtId="0" fontId="8" fillId="0" borderId="10" xfId="0" applyFont="1" applyBorder="1" applyProtection="1">
      <protection hidden="1"/>
    </xf>
    <xf numFmtId="0" fontId="7" fillId="0" borderId="10" xfId="0" applyFont="1" applyBorder="1" applyProtection="1">
      <protection hidden="1"/>
    </xf>
    <xf numFmtId="0" fontId="8" fillId="0" borderId="4" xfId="0" applyFont="1" applyFill="1" applyBorder="1" applyProtection="1">
      <protection hidden="1"/>
    </xf>
    <xf numFmtId="0" fontId="7" fillId="0" borderId="5" xfId="0" applyFont="1" applyFill="1" applyBorder="1" applyAlignment="1" applyProtection="1">
      <alignment horizontal="right" indent="1"/>
      <protection hidden="1"/>
    </xf>
    <xf numFmtId="0" fontId="8" fillId="0" borderId="5" xfId="0" applyFont="1" applyFill="1" applyBorder="1" applyProtection="1">
      <protection hidden="1"/>
    </xf>
    <xf numFmtId="0" fontId="7" fillId="0" borderId="6" xfId="0" applyFont="1" applyFill="1" applyBorder="1" applyAlignment="1" applyProtection="1">
      <alignment horizontal="right" indent="1"/>
      <protection hidden="1"/>
    </xf>
    <xf numFmtId="0" fontId="8" fillId="0" borderId="9" xfId="0" applyFont="1" applyBorder="1" applyProtection="1">
      <protection hidden="1"/>
    </xf>
    <xf numFmtId="0" fontId="8" fillId="0" borderId="0" xfId="0" applyFont="1" applyFill="1" applyProtection="1">
      <protection hidden="1"/>
    </xf>
    <xf numFmtId="0" fontId="8" fillId="0" borderId="11" xfId="0" applyFont="1" applyFill="1" applyBorder="1" applyProtection="1">
      <protection hidden="1"/>
    </xf>
    <xf numFmtId="0" fontId="8" fillId="0" borderId="9" xfId="0" applyFont="1" applyFill="1" applyBorder="1" applyProtection="1">
      <protection hidden="1"/>
    </xf>
    <xf numFmtId="0" fontId="8" fillId="0" borderId="10" xfId="0" applyFont="1" applyFill="1" applyBorder="1" applyProtection="1">
      <protection hidden="1"/>
    </xf>
    <xf numFmtId="0" fontId="7" fillId="0" borderId="10" xfId="0" applyFont="1" applyFill="1" applyBorder="1" applyProtection="1">
      <protection hidden="1"/>
    </xf>
    <xf numFmtId="166" fontId="7" fillId="0" borderId="6" xfId="0" applyNumberFormat="1" applyFont="1" applyBorder="1" applyAlignment="1" applyProtection="1">
      <alignment horizontal="right" indent="1"/>
      <protection hidden="1"/>
    </xf>
    <xf numFmtId="166" fontId="7" fillId="0" borderId="5" xfId="0" applyNumberFormat="1" applyFont="1" applyBorder="1" applyAlignment="1" applyProtection="1">
      <alignment horizontal="right" indent="1"/>
      <protection hidden="1"/>
    </xf>
    <xf numFmtId="166" fontId="7" fillId="0" borderId="11" xfId="0" applyNumberFormat="1" applyFont="1" applyBorder="1" applyAlignment="1" applyProtection="1">
      <alignment horizontal="right" indent="1"/>
      <protection hidden="1"/>
    </xf>
    <xf numFmtId="166" fontId="7" fillId="0" borderId="10" xfId="0" applyNumberFormat="1" applyFont="1" applyBorder="1" applyAlignment="1" applyProtection="1">
      <alignment horizontal="right" indent="1"/>
      <protection hidden="1"/>
    </xf>
    <xf numFmtId="164" fontId="7" fillId="0" borderId="6" xfId="0" applyNumberFormat="1" applyFont="1" applyBorder="1" applyAlignment="1" applyProtection="1">
      <alignment horizontal="right" indent="1"/>
      <protection hidden="1"/>
    </xf>
    <xf numFmtId="164" fontId="7" fillId="0" borderId="5" xfId="0" applyNumberFormat="1" applyFont="1" applyBorder="1" applyAlignment="1" applyProtection="1">
      <alignment horizontal="right" indent="1"/>
      <protection hidden="1"/>
    </xf>
    <xf numFmtId="164" fontId="7" fillId="0" borderId="10" xfId="0" applyNumberFormat="1" applyFont="1" applyBorder="1" applyAlignment="1" applyProtection="1">
      <alignment horizontal="right" indent="1"/>
      <protection hidden="1"/>
    </xf>
    <xf numFmtId="165" fontId="7" fillId="0" borderId="6" xfId="0" applyNumberFormat="1" applyFont="1" applyBorder="1" applyAlignment="1" applyProtection="1">
      <alignment horizontal="right" indent="1"/>
      <protection hidden="1"/>
    </xf>
    <xf numFmtId="165" fontId="7" fillId="0" borderId="5" xfId="0" applyNumberFormat="1" applyFont="1" applyBorder="1" applyAlignment="1" applyProtection="1">
      <alignment horizontal="right" indent="1"/>
      <protection hidden="1"/>
    </xf>
    <xf numFmtId="165" fontId="7" fillId="0" borderId="11" xfId="0" applyNumberFormat="1" applyFont="1" applyBorder="1" applyAlignment="1" applyProtection="1">
      <alignment horizontal="right" indent="1"/>
      <protection hidden="1"/>
    </xf>
    <xf numFmtId="165" fontId="7" fillId="0" borderId="10" xfId="0" applyNumberFormat="1" applyFont="1" applyBorder="1" applyAlignment="1" applyProtection="1">
      <alignment horizontal="right" indent="1"/>
      <protection hidden="1"/>
    </xf>
    <xf numFmtId="0" fontId="8" fillId="0" borderId="0" xfId="0" applyFont="1" applyAlignment="1" applyProtection="1">
      <alignment horizontal="right"/>
      <protection hidden="1"/>
    </xf>
    <xf numFmtId="2" fontId="7" fillId="0" borderId="6" xfId="0" applyNumberFormat="1" applyFont="1" applyFill="1" applyBorder="1" applyAlignment="1" applyProtection="1">
      <alignment horizontal="right" indent="1"/>
      <protection hidden="1"/>
    </xf>
    <xf numFmtId="2" fontId="7" fillId="0" borderId="5" xfId="0" applyNumberFormat="1" applyFont="1" applyFill="1" applyBorder="1" applyAlignment="1" applyProtection="1">
      <alignment horizontal="right" indent="1"/>
      <protection hidden="1"/>
    </xf>
    <xf numFmtId="2" fontId="7" fillId="0" borderId="11" xfId="0" applyNumberFormat="1" applyFont="1" applyFill="1" applyBorder="1" applyAlignment="1" applyProtection="1">
      <alignment horizontal="right" indent="1"/>
      <protection hidden="1"/>
    </xf>
    <xf numFmtId="2" fontId="7" fillId="0" borderId="10" xfId="0" applyNumberFormat="1" applyFont="1" applyFill="1" applyBorder="1" applyAlignment="1" applyProtection="1">
      <alignment horizontal="right" indent="1"/>
      <protection hidden="1"/>
    </xf>
    <xf numFmtId="0" fontId="7" fillId="0" borderId="11" xfId="0" applyFont="1" applyFill="1" applyBorder="1" applyProtection="1">
      <protection hidden="1"/>
    </xf>
    <xf numFmtId="0" fontId="8" fillId="0" borderId="6" xfId="0" applyFont="1" applyBorder="1" applyProtection="1">
      <protection hidden="1"/>
    </xf>
    <xf numFmtId="164" fontId="7" fillId="0" borderId="5" xfId="0" applyNumberFormat="1" applyFont="1" applyFill="1" applyBorder="1" applyAlignment="1" applyProtection="1">
      <alignment horizontal="right" indent="1"/>
      <protection hidden="1"/>
    </xf>
    <xf numFmtId="164" fontId="7" fillId="0" borderId="11" xfId="0" applyNumberFormat="1" applyFont="1" applyBorder="1" applyAlignment="1" applyProtection="1">
      <alignment horizontal="right" indent="1"/>
      <protection hidden="1"/>
    </xf>
    <xf numFmtId="0" fontId="8" fillId="0" borderId="0" xfId="0" quotePrefix="1" applyFont="1" applyFill="1" applyAlignment="1" applyProtection="1">
      <alignment horizontal="left" indent="1"/>
      <protection hidden="1"/>
    </xf>
    <xf numFmtId="0" fontId="2" fillId="0" borderId="0" xfId="0" applyFont="1" applyBorder="1" applyAlignment="1" applyProtection="1">
      <alignment vertical="center" wrapText="1"/>
      <protection hidden="1"/>
    </xf>
    <xf numFmtId="0" fontId="8" fillId="0" borderId="0" xfId="0" applyFont="1" applyBorder="1" applyAlignment="1" applyProtection="1">
      <alignment horizontal="center" vertical="center" wrapText="1"/>
      <protection hidden="1"/>
    </xf>
    <xf numFmtId="0" fontId="8" fillId="0" borderId="3" xfId="0" applyFont="1" applyFill="1" applyBorder="1" applyAlignment="1">
      <alignment horizontal="left" vertical="center" indent="1"/>
    </xf>
    <xf numFmtId="0" fontId="7" fillId="0" borderId="5" xfId="0" applyFont="1" applyBorder="1" applyProtection="1">
      <protection hidden="1"/>
    </xf>
    <xf numFmtId="0" fontId="7" fillId="0" borderId="6" xfId="0" applyFont="1" applyBorder="1" applyProtection="1">
      <protection hidden="1"/>
    </xf>
    <xf numFmtId="164" fontId="7" fillId="0" borderId="6" xfId="0" applyNumberFormat="1" applyFont="1" applyBorder="1" applyAlignment="1" applyProtection="1">
      <alignment horizontal="right" wrapText="1" indent="1"/>
      <protection hidden="1"/>
    </xf>
    <xf numFmtId="0" fontId="8" fillId="0" borderId="0" xfId="0" applyFont="1" applyFill="1" applyBorder="1" applyAlignment="1" applyProtection="1">
      <alignment horizontal="left" vertical="center" indent="1"/>
      <protection hidden="1"/>
    </xf>
    <xf numFmtId="0" fontId="3" fillId="3"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indent="1"/>
      <protection hidden="1"/>
    </xf>
    <xf numFmtId="0" fontId="10" fillId="3" borderId="0" xfId="0" applyFont="1" applyFill="1" applyBorder="1" applyAlignment="1" applyProtection="1">
      <alignment vertical="center"/>
      <protection hidden="1"/>
    </xf>
    <xf numFmtId="0" fontId="8" fillId="0" borderId="0" xfId="0" applyFont="1" applyBorder="1" applyAlignment="1" applyProtection="1">
      <alignment horizontal="left" vertical="top" wrapText="1"/>
      <protection locked="0"/>
    </xf>
    <xf numFmtId="0" fontId="10" fillId="3" borderId="0" xfId="0" applyFont="1" applyFill="1" applyBorder="1" applyAlignment="1" applyProtection="1">
      <alignment horizontal="left" vertical="center"/>
      <protection hidden="1"/>
    </xf>
    <xf numFmtId="0" fontId="8" fillId="4" borderId="21" xfId="0" applyFont="1" applyFill="1" applyBorder="1" applyAlignment="1" applyProtection="1">
      <alignment horizontal="center" vertical="center"/>
      <protection locked="0"/>
    </xf>
    <xf numFmtId="164" fontId="8" fillId="4" borderId="21" xfId="1" applyNumberFormat="1" applyFont="1" applyFill="1" applyBorder="1" applyAlignment="1" applyProtection="1">
      <alignment horizontal="center" vertical="center"/>
      <protection locked="0"/>
    </xf>
    <xf numFmtId="0" fontId="16" fillId="0" borderId="0" xfId="0" applyFont="1" applyBorder="1" applyAlignment="1" applyProtection="1">
      <alignment horizontal="right" vertical="center"/>
      <protection hidden="1"/>
    </xf>
    <xf numFmtId="0" fontId="18" fillId="0" borderId="0" xfId="0" applyFont="1" applyBorder="1" applyAlignment="1" applyProtection="1">
      <alignment horizontal="left" vertical="center" indent="1"/>
      <protection hidden="1"/>
    </xf>
    <xf numFmtId="164" fontId="8" fillId="4" borderId="21" xfId="1" applyNumberFormat="1" applyFont="1" applyFill="1" applyBorder="1" applyAlignment="1" applyProtection="1">
      <alignment horizontal="right" vertical="center" indent="1"/>
      <protection locked="0" hidden="1"/>
    </xf>
    <xf numFmtId="164" fontId="8" fillId="4" borderId="21" xfId="0" applyNumberFormat="1" applyFont="1" applyFill="1" applyBorder="1" applyAlignment="1" applyProtection="1">
      <alignment horizontal="right" vertical="center" indent="1"/>
      <protection locked="0" hidden="1"/>
    </xf>
    <xf numFmtId="166" fontId="8" fillId="4" borderId="21" xfId="0" applyNumberFormat="1" applyFont="1" applyFill="1" applyBorder="1" applyAlignment="1" applyProtection="1">
      <alignment horizontal="right" vertical="center" indent="1"/>
      <protection locked="0" hidden="1"/>
    </xf>
    <xf numFmtId="165" fontId="8" fillId="4" borderId="21" xfId="0" applyNumberFormat="1" applyFont="1" applyFill="1" applyBorder="1" applyAlignment="1" applyProtection="1">
      <alignment horizontal="right" vertical="center" indent="1"/>
      <protection locked="0" hidden="1"/>
    </xf>
    <xf numFmtId="2" fontId="8" fillId="4" borderId="21" xfId="0" applyNumberFormat="1" applyFont="1" applyFill="1" applyBorder="1" applyAlignment="1" applyProtection="1">
      <alignment horizontal="right" vertical="center" indent="1"/>
      <protection locked="0" hidden="1"/>
    </xf>
    <xf numFmtId="0" fontId="6" fillId="0" borderId="21" xfId="0" applyFont="1" applyFill="1" applyBorder="1" applyAlignment="1" applyProtection="1">
      <alignment horizontal="center" vertical="center" wrapText="1"/>
      <protection hidden="1"/>
    </xf>
    <xf numFmtId="0" fontId="2" fillId="0" borderId="0" xfId="0" applyFont="1" applyAlignment="1" applyProtection="1">
      <protection hidden="1"/>
    </xf>
    <xf numFmtId="0" fontId="7" fillId="4" borderId="21" xfId="0" applyFont="1" applyFill="1" applyBorder="1" applyAlignment="1" applyProtection="1">
      <alignment horizontal="center" vertical="center"/>
      <protection locked="0"/>
    </xf>
    <xf numFmtId="0" fontId="8" fillId="0" borderId="21" xfId="0" applyFont="1" applyBorder="1" applyAlignment="1">
      <alignment horizontal="center"/>
    </xf>
    <xf numFmtId="0" fontId="10" fillId="3" borderId="0" xfId="0" applyFont="1" applyFill="1" applyBorder="1" applyAlignment="1" applyProtection="1">
      <alignment vertical="center"/>
      <protection hidden="1"/>
    </xf>
    <xf numFmtId="0" fontId="10" fillId="3" borderId="0" xfId="0" applyFont="1" applyFill="1" applyBorder="1" applyAlignment="1" applyProtection="1">
      <alignment horizontal="left" vertical="center"/>
      <protection hidden="1"/>
    </xf>
    <xf numFmtId="0" fontId="8" fillId="4" borderId="21" xfId="0" applyNumberFormat="1" applyFont="1" applyFill="1" applyBorder="1" applyAlignment="1" applyProtection="1">
      <alignment horizontal="center" vertical="center"/>
      <protection locked="0" hidden="1"/>
    </xf>
    <xf numFmtId="0" fontId="2" fillId="0" borderId="15" xfId="0" applyFont="1" applyBorder="1" applyAlignment="1" applyProtection="1">
      <alignment vertical="top"/>
      <protection hidden="1"/>
    </xf>
    <xf numFmtId="0" fontId="2" fillId="0" borderId="0"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0" xfId="0" applyFont="1" applyAlignment="1" applyProtection="1">
      <alignment vertical="top"/>
      <protection hidden="1"/>
    </xf>
    <xf numFmtId="0" fontId="8" fillId="0" borderId="0" xfId="0" applyFont="1" applyAlignment="1"/>
    <xf numFmtId="0" fontId="26" fillId="0" borderId="15" xfId="0" applyFont="1" applyBorder="1" applyProtection="1">
      <protection hidden="1"/>
    </xf>
    <xf numFmtId="0" fontId="26" fillId="0" borderId="0" xfId="0" applyFont="1" applyBorder="1" applyProtection="1">
      <protection hidden="1"/>
    </xf>
    <xf numFmtId="0" fontId="26" fillId="0" borderId="16" xfId="0" applyFont="1" applyBorder="1" applyProtection="1">
      <protection hidden="1"/>
    </xf>
    <xf numFmtId="0" fontId="26" fillId="0" borderId="0" xfId="0" applyFont="1" applyProtection="1">
      <protection hidden="1"/>
    </xf>
    <xf numFmtId="0" fontId="21" fillId="0" borderId="15" xfId="0" applyFont="1" applyBorder="1"/>
    <xf numFmtId="0" fontId="21" fillId="0" borderId="0" xfId="0" applyFont="1" applyBorder="1"/>
    <xf numFmtId="0" fontId="21" fillId="0" borderId="0" xfId="0" applyFont="1" applyAlignment="1">
      <alignment horizontal="left"/>
    </xf>
    <xf numFmtId="0" fontId="21" fillId="0" borderId="16" xfId="0" applyFont="1" applyBorder="1"/>
    <xf numFmtId="0" fontId="21" fillId="0" borderId="0" xfId="0" applyFont="1"/>
    <xf numFmtId="0" fontId="27" fillId="10" borderId="0" xfId="0" applyFont="1" applyFill="1"/>
    <xf numFmtId="0" fontId="26" fillId="10" borderId="0" xfId="0" applyFont="1" applyFill="1"/>
    <xf numFmtId="0" fontId="2" fillId="0" borderId="0" xfId="0" applyFont="1" applyFill="1" applyAlignment="1">
      <alignment horizontal="left"/>
    </xf>
    <xf numFmtId="0" fontId="2" fillId="0" borderId="0" xfId="0" applyFont="1" applyFill="1"/>
    <xf numFmtId="164" fontId="2" fillId="0" borderId="21" xfId="1" applyNumberFormat="1" applyFont="1" applyFill="1" applyBorder="1"/>
    <xf numFmtId="164" fontId="28" fillId="0" borderId="21" xfId="1" applyNumberFormat="1" applyFont="1" applyFill="1" applyBorder="1"/>
    <xf numFmtId="164" fontId="29" fillId="0" borderId="21" xfId="1" applyNumberFormat="1" applyFont="1" applyFill="1" applyBorder="1"/>
    <xf numFmtId="164" fontId="2" fillId="0" borderId="0" xfId="1" applyNumberFormat="1" applyFont="1" applyFill="1" applyBorder="1"/>
    <xf numFmtId="164" fontId="29" fillId="0" borderId="0" xfId="1" applyNumberFormat="1" applyFont="1" applyFill="1" applyBorder="1"/>
    <xf numFmtId="165" fontId="2" fillId="0" borderId="21" xfId="0" applyNumberFormat="1" applyFont="1" applyFill="1" applyBorder="1"/>
    <xf numFmtId="165" fontId="28" fillId="0" borderId="21" xfId="1" applyNumberFormat="1" applyFont="1" applyFill="1" applyBorder="1" applyAlignment="1">
      <alignment horizontal="right"/>
    </xf>
    <xf numFmtId="165" fontId="29" fillId="0" borderId="21" xfId="1" applyNumberFormat="1" applyFont="1" applyFill="1" applyBorder="1" applyAlignment="1">
      <alignment horizontal="right"/>
    </xf>
    <xf numFmtId="165" fontId="2" fillId="0" borderId="0" xfId="0" applyNumberFormat="1" applyFont="1" applyFill="1" applyBorder="1"/>
    <xf numFmtId="166" fontId="2" fillId="0" borderId="21" xfId="0" applyNumberFormat="1" applyFont="1" applyFill="1" applyBorder="1"/>
    <xf numFmtId="166" fontId="29" fillId="0" borderId="21" xfId="0" applyNumberFormat="1" applyFont="1" applyFill="1" applyBorder="1"/>
    <xf numFmtId="166" fontId="2" fillId="0" borderId="0" xfId="0" applyNumberFormat="1" applyFont="1" applyFill="1" applyBorder="1"/>
    <xf numFmtId="0" fontId="2" fillId="0" borderId="21" xfId="0" applyFont="1" applyFill="1" applyBorder="1" applyAlignment="1">
      <alignment horizontal="left"/>
    </xf>
    <xf numFmtId="0" fontId="2" fillId="0" borderId="21" xfId="0" applyFont="1" applyFill="1" applyBorder="1"/>
    <xf numFmtId="0" fontId="2" fillId="0" borderId="3" xfId="0" applyFont="1" applyFill="1" applyBorder="1" applyAlignment="1">
      <alignment horizontal="left"/>
    </xf>
    <xf numFmtId="0" fontId="20" fillId="0" borderId="0" xfId="0" applyFont="1" applyFill="1"/>
    <xf numFmtId="0" fontId="4" fillId="0" borderId="0" xfId="0" applyFont="1" applyFill="1"/>
    <xf numFmtId="0" fontId="30" fillId="0" borderId="0" xfId="0" applyFont="1" applyAlignment="1">
      <alignment horizontal="left"/>
    </xf>
    <xf numFmtId="0" fontId="28" fillId="0" borderId="0" xfId="0" applyFont="1" applyProtection="1">
      <protection hidden="1"/>
    </xf>
    <xf numFmtId="0" fontId="28" fillId="0" borderId="15" xfId="0" applyFont="1" applyBorder="1" applyProtection="1">
      <protection hidden="1"/>
    </xf>
    <xf numFmtId="0" fontId="28" fillId="0" borderId="0" xfId="0" applyFont="1" applyBorder="1" applyProtection="1">
      <protection hidden="1"/>
    </xf>
    <xf numFmtId="0" fontId="30" fillId="0" borderId="0" xfId="0" applyFont="1" applyAlignment="1">
      <alignment horizontal="left" vertical="top"/>
    </xf>
    <xf numFmtId="0" fontId="30" fillId="0" borderId="0" xfId="0" applyFont="1" applyAlignment="1">
      <alignment horizontal="left" vertical="center"/>
    </xf>
    <xf numFmtId="0" fontId="28" fillId="0" borderId="16" xfId="0" applyFont="1" applyBorder="1" applyProtection="1">
      <protection hidden="1"/>
    </xf>
    <xf numFmtId="0" fontId="8" fillId="0" borderId="4" xfId="0" applyFont="1" applyBorder="1" applyAlignment="1" applyProtection="1">
      <alignment horizontal="right"/>
      <protection hidden="1"/>
    </xf>
    <xf numFmtId="0" fontId="8" fillId="0" borderId="5" xfId="0" applyFont="1" applyBorder="1" applyAlignment="1" applyProtection="1">
      <alignment horizontal="right"/>
      <protection hidden="1"/>
    </xf>
    <xf numFmtId="0" fontId="8" fillId="0" borderId="11" xfId="0" applyFont="1" applyBorder="1" applyAlignment="1" applyProtection="1">
      <alignment horizontal="right"/>
      <protection hidden="1"/>
    </xf>
    <xf numFmtId="0" fontId="8" fillId="0" borderId="9" xfId="0" applyFont="1" applyBorder="1" applyAlignment="1" applyProtection="1">
      <alignment horizontal="right"/>
      <protection hidden="1"/>
    </xf>
    <xf numFmtId="0" fontId="8" fillId="0" borderId="10" xfId="0" applyFont="1" applyBorder="1" applyAlignment="1" applyProtection="1">
      <alignment horizontal="right"/>
      <protection hidden="1"/>
    </xf>
    <xf numFmtId="0" fontId="8" fillId="0" borderId="10" xfId="0" applyFont="1" applyFill="1" applyBorder="1" applyAlignment="1" applyProtection="1">
      <alignment horizontal="right"/>
      <protection hidden="1"/>
    </xf>
    <xf numFmtId="0" fontId="8" fillId="0" borderId="0" xfId="0" applyFont="1" applyFill="1" applyAlignment="1" applyProtection="1">
      <alignment horizontal="right"/>
      <protection hidden="1"/>
    </xf>
    <xf numFmtId="0" fontId="8" fillId="0" borderId="24" xfId="0" applyFont="1" applyBorder="1" applyAlignment="1">
      <alignment horizontal="left" vertical="center" indent="1"/>
    </xf>
    <xf numFmtId="0" fontId="2" fillId="0" borderId="21" xfId="0" applyFont="1" applyFill="1" applyBorder="1" applyAlignment="1">
      <alignment horizontal="right"/>
    </xf>
    <xf numFmtId="0" fontId="7" fillId="4" borderId="25" xfId="0" applyFont="1" applyFill="1" applyBorder="1" applyAlignment="1" applyProtection="1">
      <alignment horizontal="left" vertical="center" indent="1"/>
      <protection locked="0"/>
    </xf>
    <xf numFmtId="0" fontId="10" fillId="3" borderId="0" xfId="0" applyFont="1" applyFill="1" applyBorder="1" applyAlignment="1" applyProtection="1">
      <alignment horizontal="left" vertical="center"/>
      <protection hidden="1"/>
    </xf>
    <xf numFmtId="0" fontId="12" fillId="0" borderId="21" xfId="2" applyFont="1" applyFill="1" applyBorder="1" applyAlignment="1" applyProtection="1">
      <alignment horizontal="center" vertical="center"/>
      <protection locked="0" hidden="1"/>
    </xf>
    <xf numFmtId="0" fontId="8" fillId="0" borderId="0" xfId="0" applyFont="1" applyBorder="1" applyProtection="1">
      <protection locked="0"/>
    </xf>
    <xf numFmtId="0" fontId="8" fillId="0" borderId="0" xfId="0" applyFont="1" applyBorder="1" applyAlignment="1" applyProtection="1">
      <alignment vertical="center"/>
      <protection locked="0"/>
    </xf>
    <xf numFmtId="0" fontId="16" fillId="0" borderId="0" xfId="0" applyFont="1" applyBorder="1" applyAlignment="1" applyProtection="1">
      <alignment horizontal="right" vertical="center"/>
      <protection locked="0"/>
    </xf>
    <xf numFmtId="0" fontId="8" fillId="0" borderId="1" xfId="0" applyFont="1" applyBorder="1" applyAlignment="1" applyProtection="1">
      <alignment horizontal="left" vertical="center" indent="1"/>
    </xf>
    <xf numFmtId="0" fontId="8" fillId="0" borderId="21" xfId="0" applyFont="1" applyBorder="1" applyAlignment="1" applyProtection="1">
      <alignment horizontal="left" vertical="center" indent="1"/>
    </xf>
    <xf numFmtId="0" fontId="10" fillId="3" borderId="0" xfId="0" applyFont="1" applyFill="1" applyBorder="1" applyAlignment="1" applyProtection="1">
      <alignment horizontal="left" vertical="center"/>
      <protection locked="0" hidden="1"/>
    </xf>
    <xf numFmtId="0" fontId="8" fillId="0" borderId="0" xfId="0" applyFont="1" applyBorder="1" applyProtection="1">
      <protection locked="0" hidden="1"/>
    </xf>
    <xf numFmtId="0" fontId="2" fillId="0" borderId="0" xfId="0" applyFont="1" applyProtection="1"/>
    <xf numFmtId="0" fontId="8" fillId="0" borderId="0" xfId="0" applyFont="1" applyBorder="1" applyAlignment="1" applyProtection="1">
      <alignment horizontal="center" vertical="center" wrapText="1"/>
      <protection hidden="1"/>
    </xf>
    <xf numFmtId="0" fontId="8" fillId="4" borderId="21" xfId="0" applyFont="1" applyFill="1" applyBorder="1" applyAlignment="1" applyProtection="1">
      <alignment horizontal="left" vertical="center" wrapText="1"/>
      <protection locked="0"/>
    </xf>
    <xf numFmtId="14" fontId="8" fillId="4" borderId="21"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hidden="1"/>
    </xf>
    <xf numFmtId="0" fontId="8" fillId="4" borderId="21" xfId="0" applyNumberFormat="1" applyFont="1" applyFill="1" applyBorder="1" applyAlignment="1" applyProtection="1">
      <alignment horizontal="center" vertical="center" wrapText="1"/>
      <protection locked="0" hidden="1"/>
    </xf>
    <xf numFmtId="0" fontId="9" fillId="0" borderId="0" xfId="0" applyFont="1" applyAlignment="1" applyProtection="1">
      <alignment horizontal="center"/>
      <protection hidden="1"/>
    </xf>
    <xf numFmtId="0" fontId="8" fillId="0" borderId="0" xfId="0" applyFont="1" applyAlignment="1" applyProtection="1">
      <alignment horizontal="left" vertical="top" wrapText="1" indent="1"/>
      <protection hidden="1"/>
    </xf>
    <xf numFmtId="0" fontId="12" fillId="0" borderId="21" xfId="2" applyFont="1" applyFill="1" applyBorder="1" applyAlignment="1">
      <alignment horizontal="left" vertical="center" wrapText="1"/>
    </xf>
    <xf numFmtId="0" fontId="3" fillId="3" borderId="0" xfId="0" applyFont="1" applyFill="1" applyBorder="1" applyAlignment="1" applyProtection="1">
      <alignment horizontal="center" vertical="center"/>
      <protection hidden="1"/>
    </xf>
    <xf numFmtId="0" fontId="8" fillId="9" borderId="4" xfId="0" applyFont="1" applyFill="1" applyBorder="1" applyAlignment="1" applyProtection="1">
      <alignment horizontal="left" vertical="center" wrapText="1" indent="1"/>
      <protection hidden="1"/>
    </xf>
    <xf numFmtId="0" fontId="8" fillId="9" borderId="5" xfId="0" applyFont="1" applyFill="1" applyBorder="1" applyAlignment="1" applyProtection="1">
      <alignment horizontal="left" vertical="center" wrapText="1" indent="1"/>
      <protection hidden="1"/>
    </xf>
    <xf numFmtId="0" fontId="8" fillId="9" borderId="6" xfId="0" applyFont="1" applyFill="1" applyBorder="1" applyAlignment="1" applyProtection="1">
      <alignment horizontal="left" vertical="center" wrapText="1" indent="1"/>
      <protection hidden="1"/>
    </xf>
    <xf numFmtId="0" fontId="8" fillId="9" borderId="9" xfId="0" applyFont="1" applyFill="1" applyBorder="1" applyAlignment="1" applyProtection="1">
      <alignment horizontal="left" vertical="center" wrapText="1" indent="1"/>
      <protection hidden="1"/>
    </xf>
    <xf numFmtId="0" fontId="8" fillId="9" borderId="10" xfId="0" applyFont="1" applyFill="1" applyBorder="1" applyAlignment="1" applyProtection="1">
      <alignment horizontal="left" vertical="center" wrapText="1" indent="1"/>
      <protection hidden="1"/>
    </xf>
    <xf numFmtId="0" fontId="8" fillId="9" borderId="11" xfId="0" applyFont="1" applyFill="1" applyBorder="1" applyAlignment="1" applyProtection="1">
      <alignment horizontal="left" vertical="center" wrapText="1" indent="1"/>
      <protection hidden="1"/>
    </xf>
    <xf numFmtId="0" fontId="8" fillId="9" borderId="7" xfId="0" applyFont="1" applyFill="1" applyBorder="1" applyAlignment="1" applyProtection="1">
      <alignment horizontal="left" vertical="center" wrapText="1" indent="3"/>
      <protection hidden="1"/>
    </xf>
    <xf numFmtId="0" fontId="8" fillId="9" borderId="0" xfId="0" applyFont="1" applyFill="1" applyBorder="1" applyAlignment="1" applyProtection="1">
      <alignment horizontal="left" vertical="center" wrapText="1" indent="3"/>
      <protection hidden="1"/>
    </xf>
    <xf numFmtId="0" fontId="8" fillId="9" borderId="8" xfId="0" applyFont="1" applyFill="1" applyBorder="1" applyAlignment="1" applyProtection="1">
      <alignment horizontal="left" vertical="center" wrapText="1" indent="3"/>
      <protection hidden="1"/>
    </xf>
    <xf numFmtId="0" fontId="2" fillId="0" borderId="0" xfId="0" applyFont="1" applyBorder="1" applyAlignment="1" applyProtection="1">
      <alignment vertical="center" wrapText="1"/>
      <protection hidden="1"/>
    </xf>
    <xf numFmtId="0" fontId="7" fillId="0" borderId="4" xfId="0" applyFont="1" applyBorder="1" applyProtection="1">
      <protection hidden="1"/>
    </xf>
    <xf numFmtId="0" fontId="7" fillId="0" borderId="5" xfId="0" applyFont="1" applyBorder="1" applyProtection="1">
      <protection hidden="1"/>
    </xf>
    <xf numFmtId="0" fontId="7" fillId="0" borderId="6" xfId="0" applyFont="1" applyBorder="1" applyProtection="1">
      <protection hidden="1"/>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indent="1"/>
      <protection hidden="1"/>
    </xf>
    <xf numFmtId="0" fontId="7" fillId="0" borderId="1" xfId="0" applyFont="1" applyBorder="1" applyAlignment="1" applyProtection="1">
      <alignment horizontal="left" vertical="center" indent="1"/>
      <protection hidden="1"/>
    </xf>
    <xf numFmtId="0" fontId="7" fillId="0" borderId="2" xfId="0" applyFont="1" applyBorder="1" applyAlignment="1" applyProtection="1">
      <alignment horizontal="left" vertical="center" indent="1"/>
      <protection hidden="1"/>
    </xf>
    <xf numFmtId="0" fontId="7" fillId="0" borderId="3" xfId="0" applyFont="1" applyBorder="1" applyAlignment="1" applyProtection="1">
      <alignment horizontal="left" vertical="center" indent="1"/>
      <protection hidden="1"/>
    </xf>
    <xf numFmtId="0" fontId="7" fillId="0" borderId="1" xfId="0" applyFont="1" applyFill="1" applyBorder="1" applyAlignment="1" applyProtection="1">
      <alignment horizontal="left" vertical="center" indent="1"/>
      <protection hidden="1"/>
    </xf>
    <xf numFmtId="0" fontId="7" fillId="0" borderId="2" xfId="0" applyFont="1" applyFill="1" applyBorder="1" applyAlignment="1" applyProtection="1">
      <alignment horizontal="left" vertical="center" indent="1"/>
      <protection hidden="1"/>
    </xf>
    <xf numFmtId="0" fontId="7" fillId="0" borderId="3" xfId="0" applyFont="1" applyFill="1" applyBorder="1" applyAlignment="1" applyProtection="1">
      <alignment horizontal="left" vertical="center" indent="1"/>
      <protection hidden="1"/>
    </xf>
    <xf numFmtId="0" fontId="2" fillId="4"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10" fillId="3" borderId="0" xfId="0" applyFont="1" applyFill="1" applyBorder="1" applyAlignment="1" applyProtection="1">
      <alignment vertical="center"/>
      <protection hidden="1"/>
    </xf>
    <xf numFmtId="0" fontId="6" fillId="0" borderId="1"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wrapText="1"/>
      <protection hidden="1"/>
    </xf>
    <xf numFmtId="0" fontId="6" fillId="0" borderId="3" xfId="0" applyFont="1" applyFill="1" applyBorder="1" applyAlignment="1" applyProtection="1">
      <alignment horizontal="left" vertical="center" wrapText="1"/>
      <protection hidden="1"/>
    </xf>
    <xf numFmtId="0" fontId="6" fillId="0" borderId="1" xfId="0" applyFont="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6" fillId="9" borderId="4" xfId="2" applyFont="1" applyFill="1" applyBorder="1" applyAlignment="1" applyProtection="1">
      <alignment horizontal="left" vertical="center" wrapText="1" indent="1"/>
      <protection hidden="1"/>
    </xf>
    <xf numFmtId="0" fontId="6" fillId="9" borderId="5" xfId="2" applyFont="1" applyFill="1" applyBorder="1" applyAlignment="1" applyProtection="1">
      <alignment horizontal="left" vertical="center" wrapText="1" indent="1"/>
      <protection hidden="1"/>
    </xf>
    <xf numFmtId="0" fontId="6" fillId="9" borderId="6" xfId="2" applyFont="1" applyFill="1" applyBorder="1" applyAlignment="1" applyProtection="1">
      <alignment horizontal="left" vertical="center" wrapText="1" indent="1"/>
      <protection hidden="1"/>
    </xf>
    <xf numFmtId="0" fontId="6" fillId="9" borderId="7" xfId="2" applyFont="1" applyFill="1" applyBorder="1" applyAlignment="1" applyProtection="1">
      <alignment horizontal="left" vertical="center" wrapText="1" indent="1"/>
      <protection hidden="1"/>
    </xf>
    <xf numFmtId="0" fontId="6" fillId="9" borderId="0" xfId="2" applyFont="1" applyFill="1" applyBorder="1" applyAlignment="1" applyProtection="1">
      <alignment horizontal="left" vertical="center" wrapText="1" indent="1"/>
      <protection hidden="1"/>
    </xf>
    <xf numFmtId="0" fontId="6" fillId="9" borderId="8" xfId="2" applyFont="1" applyFill="1" applyBorder="1" applyAlignment="1" applyProtection="1">
      <alignment horizontal="left" vertical="center" wrapText="1" indent="1"/>
      <protection hidden="1"/>
    </xf>
    <xf numFmtId="0" fontId="6" fillId="9" borderId="9" xfId="2" applyFont="1" applyFill="1" applyBorder="1" applyAlignment="1" applyProtection="1">
      <alignment horizontal="left" vertical="center" wrapText="1" indent="1"/>
      <protection hidden="1"/>
    </xf>
    <xf numFmtId="0" fontId="6" fillId="9" borderId="10" xfId="2" applyFont="1" applyFill="1" applyBorder="1" applyAlignment="1" applyProtection="1">
      <alignment horizontal="left" vertical="center" wrapText="1" indent="1"/>
      <protection hidden="1"/>
    </xf>
    <xf numFmtId="0" fontId="6" fillId="9" borderId="11" xfId="2" applyFont="1" applyFill="1" applyBorder="1" applyAlignment="1" applyProtection="1">
      <alignment horizontal="left" vertical="center" wrapText="1" indent="1"/>
      <protection hidden="1"/>
    </xf>
    <xf numFmtId="0" fontId="5" fillId="0" borderId="4"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0" fontId="5" fillId="0" borderId="6" xfId="0" applyFont="1" applyBorder="1" applyAlignment="1" applyProtection="1">
      <alignment horizontal="left" vertical="center" indent="1"/>
      <protection hidden="1"/>
    </xf>
    <xf numFmtId="0" fontId="5" fillId="0" borderId="9" xfId="0" applyFont="1" applyBorder="1" applyAlignment="1" applyProtection="1">
      <alignment horizontal="left" vertical="center" indent="1"/>
      <protection hidden="1"/>
    </xf>
    <xf numFmtId="0" fontId="5" fillId="0" borderId="10" xfId="0" applyFont="1" applyBorder="1" applyAlignment="1" applyProtection="1">
      <alignment horizontal="left" vertical="center" indent="1"/>
      <protection hidden="1"/>
    </xf>
    <xf numFmtId="0" fontId="5" fillId="0" borderId="11" xfId="0" applyFont="1" applyBorder="1" applyAlignment="1" applyProtection="1">
      <alignment horizontal="left" vertical="center" indent="1"/>
      <protection hidden="1"/>
    </xf>
    <xf numFmtId="0" fontId="5" fillId="4" borderId="21" xfId="0" applyFont="1" applyFill="1" applyBorder="1" applyAlignment="1" applyProtection="1">
      <alignment horizontal="left" vertical="center" indent="1"/>
      <protection locked="0"/>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8" fillId="9" borderId="4" xfId="0" applyFont="1" applyFill="1" applyBorder="1" applyAlignment="1" applyProtection="1">
      <alignment horizontal="left" vertical="center" wrapText="1" indent="1"/>
    </xf>
    <xf numFmtId="0" fontId="8" fillId="9" borderId="6" xfId="0" applyFont="1" applyFill="1" applyBorder="1" applyAlignment="1" applyProtection="1">
      <alignment horizontal="left" vertical="center" wrapText="1" indent="1"/>
    </xf>
    <xf numFmtId="0" fontId="8" fillId="9" borderId="7" xfId="0" applyFont="1" applyFill="1" applyBorder="1" applyAlignment="1" applyProtection="1">
      <alignment horizontal="left" vertical="center" wrapText="1" indent="1"/>
    </xf>
    <xf numFmtId="0" fontId="8" fillId="9" borderId="8" xfId="0" applyFont="1" applyFill="1" applyBorder="1" applyAlignment="1" applyProtection="1">
      <alignment horizontal="left" vertical="center" wrapText="1" indent="1"/>
    </xf>
    <xf numFmtId="0" fontId="8" fillId="9" borderId="9" xfId="0" applyFont="1" applyFill="1" applyBorder="1" applyAlignment="1" applyProtection="1">
      <alignment horizontal="left" vertical="center" wrapText="1" indent="1"/>
    </xf>
    <xf numFmtId="0" fontId="8" fillId="9" borderId="11" xfId="0" applyFont="1" applyFill="1" applyBorder="1" applyAlignment="1" applyProtection="1">
      <alignment horizontal="left" vertical="center" wrapText="1" indent="1"/>
    </xf>
    <xf numFmtId="0" fontId="3" fillId="3" borderId="0" xfId="0" applyFont="1" applyFill="1" applyBorder="1" applyAlignment="1" applyProtection="1">
      <alignment horizontal="left" vertical="center" indent="1"/>
      <protection hidden="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wrapText="1"/>
    </xf>
    <xf numFmtId="0" fontId="8" fillId="0" borderId="0" xfId="0" applyFont="1" applyBorder="1" applyAlignment="1" applyProtection="1">
      <alignment wrapText="1"/>
      <protection hidden="1"/>
    </xf>
    <xf numFmtId="0" fontId="7" fillId="0" borderId="1" xfId="0" applyFont="1" applyBorder="1" applyAlignment="1" applyProtection="1">
      <alignment vertical="center"/>
    </xf>
    <xf numFmtId="0" fontId="7" fillId="0" borderId="3" xfId="0" applyFont="1" applyBorder="1" applyAlignment="1" applyProtection="1">
      <alignment vertical="center"/>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6" fillId="9" borderId="7" xfId="2" applyFont="1" applyFill="1" applyBorder="1" applyAlignment="1" applyProtection="1">
      <alignment horizontal="left" wrapText="1" indent="1"/>
    </xf>
    <xf numFmtId="0" fontId="6" fillId="9" borderId="8" xfId="2" applyFont="1" applyFill="1" applyBorder="1" applyAlignment="1" applyProtection="1">
      <alignment horizontal="left" wrapText="1" indent="1"/>
    </xf>
    <xf numFmtId="0" fontId="7" fillId="9" borderId="4" xfId="0" applyFont="1" applyFill="1" applyBorder="1" applyAlignment="1" applyProtection="1">
      <alignment horizontal="left" vertical="top" wrapText="1" indent="1"/>
    </xf>
    <xf numFmtId="0" fontId="7" fillId="9" borderId="6" xfId="0" applyFont="1" applyFill="1" applyBorder="1" applyAlignment="1" applyProtection="1">
      <alignment horizontal="left" vertical="top" wrapText="1" indent="1"/>
    </xf>
    <xf numFmtId="0" fontId="7" fillId="9" borderId="7" xfId="0" applyFont="1" applyFill="1" applyBorder="1" applyAlignment="1" applyProtection="1">
      <alignment horizontal="left" vertical="top" wrapText="1" indent="1"/>
    </xf>
    <xf numFmtId="0" fontId="7" fillId="9" borderId="8" xfId="0" applyFont="1" applyFill="1" applyBorder="1" applyAlignment="1" applyProtection="1">
      <alignment horizontal="left" vertical="top" wrapText="1" indent="1"/>
    </xf>
    <xf numFmtId="0" fontId="6" fillId="9" borderId="4" xfId="2" applyFont="1" applyFill="1" applyBorder="1" applyAlignment="1" applyProtection="1">
      <alignment horizontal="left" vertical="center" wrapText="1" indent="1"/>
    </xf>
    <xf numFmtId="0" fontId="6" fillId="9" borderId="6" xfId="2" applyFont="1" applyFill="1" applyBorder="1" applyAlignment="1" applyProtection="1">
      <alignment horizontal="left" vertical="center" wrapText="1" indent="1"/>
    </xf>
    <xf numFmtId="0" fontId="6" fillId="9" borderId="7" xfId="2" applyFont="1" applyFill="1" applyBorder="1" applyAlignment="1" applyProtection="1">
      <alignment horizontal="left" vertical="center" wrapText="1" indent="1"/>
    </xf>
    <xf numFmtId="0" fontId="6" fillId="9" borderId="8" xfId="2" applyFont="1" applyFill="1" applyBorder="1" applyAlignment="1" applyProtection="1">
      <alignment horizontal="left" vertical="center" wrapText="1" indent="1"/>
    </xf>
    <xf numFmtId="0" fontId="6" fillId="9" borderId="9" xfId="2" applyFont="1" applyFill="1" applyBorder="1" applyAlignment="1" applyProtection="1">
      <alignment horizontal="left" vertical="center" wrapText="1" indent="1"/>
    </xf>
    <xf numFmtId="0" fontId="6" fillId="9" borderId="11" xfId="2" applyFont="1" applyFill="1" applyBorder="1" applyAlignment="1" applyProtection="1">
      <alignment horizontal="left" vertical="center" wrapText="1" indent="1"/>
    </xf>
    <xf numFmtId="0" fontId="8" fillId="0" borderId="0" xfId="2" applyFont="1" applyAlignment="1" applyProtection="1">
      <alignment vertical="top" wrapText="1"/>
    </xf>
    <xf numFmtId="0" fontId="8" fillId="9" borderId="7" xfId="0" applyFont="1" applyFill="1" applyBorder="1" applyAlignment="1" applyProtection="1">
      <alignment horizontal="left" vertical="top" wrapText="1" indent="1"/>
    </xf>
    <xf numFmtId="0" fontId="8" fillId="9" borderId="8" xfId="0" applyFont="1" applyFill="1" applyBorder="1" applyAlignment="1" applyProtection="1">
      <alignment horizontal="left" vertical="top" wrapText="1" indent="1"/>
    </xf>
    <xf numFmtId="0" fontId="8" fillId="9" borderId="9" xfId="0" applyFont="1" applyFill="1" applyBorder="1" applyAlignment="1" applyProtection="1">
      <alignment horizontal="left" vertical="top" wrapText="1" indent="1"/>
    </xf>
    <xf numFmtId="0" fontId="8" fillId="9" borderId="11" xfId="0" applyFont="1" applyFill="1" applyBorder="1" applyAlignment="1" applyProtection="1">
      <alignment horizontal="left" vertical="top" wrapText="1" indent="1"/>
    </xf>
    <xf numFmtId="0" fontId="8" fillId="0" borderId="0" xfId="0" applyFont="1" applyAlignment="1" applyProtection="1">
      <alignment horizontal="left" vertical="top" wrapText="1" indent="1"/>
      <protection hidden="1"/>
    </xf>
    <xf numFmtId="0" fontId="19" fillId="0" borderId="0" xfId="0" applyFont="1" applyBorder="1" applyAlignment="1" applyProtection="1">
      <alignment vertical="top"/>
    </xf>
    <xf numFmtId="0" fontId="8" fillId="0" borderId="0" xfId="0" applyFont="1" applyFill="1" applyAlignment="1" applyProtection="1">
      <alignment horizontal="left" vertical="top" wrapText="1" indent="1"/>
      <protection hidden="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0" fillId="0" borderId="0" xfId="0" applyFill="1"/>
    <xf numFmtId="0" fontId="8" fillId="0" borderId="1" xfId="0" applyFont="1" applyBorder="1" applyAlignment="1">
      <alignment horizontal="left" vertical="center" indent="1"/>
    </xf>
    <xf numFmtId="0" fontId="8" fillId="0" borderId="3" xfId="0" applyFont="1" applyBorder="1" applyAlignment="1">
      <alignment horizontal="left" vertical="center" indent="1"/>
    </xf>
    <xf numFmtId="0" fontId="14" fillId="0" borderId="10" xfId="0" applyFont="1" applyBorder="1" applyAlignment="1">
      <alignment vertical="center"/>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7" fillId="0" borderId="2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left" vertical="center" indent="2"/>
      <protection hidden="1"/>
    </xf>
    <xf numFmtId="0" fontId="8" fillId="9" borderId="4" xfId="0" applyFont="1" applyFill="1" applyBorder="1" applyAlignment="1">
      <alignment horizontal="left" vertical="center" wrapText="1" indent="1"/>
    </xf>
    <xf numFmtId="0" fontId="8" fillId="9" borderId="6" xfId="0" applyFont="1" applyFill="1" applyBorder="1" applyAlignment="1">
      <alignment horizontal="left" vertical="center" wrapText="1" indent="1"/>
    </xf>
    <xf numFmtId="0" fontId="8" fillId="9" borderId="7" xfId="0" applyFont="1" applyFill="1" applyBorder="1" applyAlignment="1">
      <alignment horizontal="left" vertical="center" wrapText="1" indent="1"/>
    </xf>
    <xf numFmtId="0" fontId="8" fillId="9" borderId="8" xfId="0" applyFont="1" applyFill="1" applyBorder="1" applyAlignment="1">
      <alignment horizontal="left" vertical="center" wrapText="1" indent="1"/>
    </xf>
    <xf numFmtId="0" fontId="8" fillId="9" borderId="9" xfId="0" applyFont="1" applyFill="1" applyBorder="1" applyAlignment="1">
      <alignment horizontal="left" vertical="center" wrapText="1" indent="1"/>
    </xf>
    <xf numFmtId="0" fontId="8" fillId="9" borderId="11" xfId="0" applyFont="1" applyFill="1" applyBorder="1" applyAlignment="1">
      <alignment horizontal="left" vertical="center" wrapText="1" indent="1"/>
    </xf>
    <xf numFmtId="0" fontId="6" fillId="0" borderId="0" xfId="2" applyFont="1" applyBorder="1" applyAlignment="1">
      <alignment wrapText="1"/>
    </xf>
    <xf numFmtId="0" fontId="8" fillId="5" borderId="1" xfId="0" applyFont="1" applyFill="1" applyBorder="1" applyAlignment="1">
      <alignment horizontal="center"/>
    </xf>
    <xf numFmtId="0" fontId="8" fillId="5" borderId="3" xfId="0" applyFont="1" applyFill="1" applyBorder="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8" borderId="1" xfId="0" applyFont="1" applyFill="1" applyBorder="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9" borderId="5" xfId="0" applyFont="1" applyFill="1" applyBorder="1" applyAlignment="1">
      <alignment horizontal="left" vertical="center" wrapText="1" indent="1"/>
    </xf>
    <xf numFmtId="0" fontId="8" fillId="9" borderId="0" xfId="0" applyFont="1" applyFill="1" applyBorder="1" applyAlignment="1">
      <alignment horizontal="left" vertical="center" wrapText="1" indent="1"/>
    </xf>
    <xf numFmtId="0" fontId="8" fillId="9" borderId="10" xfId="0" applyFont="1" applyFill="1" applyBorder="1" applyAlignment="1">
      <alignment horizontal="left" vertical="center" wrapText="1" indent="1"/>
    </xf>
    <xf numFmtId="0" fontId="8" fillId="2" borderId="0" xfId="0" applyFont="1" applyFill="1" applyAlignment="1">
      <alignment vertical="center" wrapText="1"/>
    </xf>
  </cellXfs>
  <cellStyles count="3">
    <cellStyle name="Hyperlink" xfId="2" builtinId="8"/>
    <cellStyle name="Normal" xfId="0" builtinId="0"/>
    <cellStyle name="Percent" xfId="1" builtinId="5"/>
  </cellStyles>
  <dxfs count="1005">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bgColor rgb="FFED878E"/>
        </patternFill>
      </fill>
    </dxf>
    <dxf>
      <fill>
        <patternFill>
          <bgColor rgb="FFFFD961"/>
        </patternFill>
      </fill>
    </dxf>
    <dxf>
      <fill>
        <patternFill>
          <bgColor rgb="FFC0DDAD"/>
        </patternFill>
      </fill>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ED878E"/>
        </patternFill>
      </fill>
    </dxf>
    <dxf>
      <fill>
        <patternFill>
          <bgColor rgb="FFFFD961"/>
        </patternFill>
      </fill>
    </dxf>
    <dxf>
      <fill>
        <patternFill>
          <bgColor rgb="FFC0DDAD"/>
        </patternFill>
      </fill>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border>
        <bottom/>
        <vertical/>
        <horizontal/>
      </border>
    </dxf>
    <dxf>
      <border>
        <bottom/>
        <vertical/>
        <horizontal/>
      </border>
    </dxf>
    <dxf>
      <border>
        <bottom/>
        <vertical/>
        <horizontal/>
      </border>
    </dxf>
    <dxf>
      <border>
        <bottom/>
        <vertical/>
        <horizontal/>
      </border>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font>
        <color theme="0"/>
      </font>
      <fill>
        <patternFill patternType="none">
          <bgColor auto="1"/>
        </patternFill>
      </fill>
      <border>
        <left/>
        <right/>
        <top style="thin">
          <color auto="1"/>
        </top>
        <bottom style="thin">
          <color auto="1"/>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s>
  <tableStyles count="0" defaultTableStyle="TableStyleMedium2" defaultPivotStyle="PivotStyleLight16"/>
  <colors>
    <mruColors>
      <color rgb="FFE8D3D4"/>
      <color rgb="FF104F75"/>
      <color rgb="FFE6B8B7"/>
      <color rgb="FFC0DDAD"/>
      <color rgb="FFFFD961"/>
      <color rgb="FFED878E"/>
      <color rgb="FF73B04A"/>
      <color rgb="FFC7A1E3"/>
      <color rgb="FFBA8BDD"/>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2</xdr:colOff>
      <xdr:row>4</xdr:row>
      <xdr:rowOff>0</xdr:rowOff>
    </xdr:from>
    <xdr:to>
      <xdr:col>8</xdr:col>
      <xdr:colOff>0</xdr:colOff>
      <xdr:row>8</xdr:row>
      <xdr:rowOff>176892</xdr:rowOff>
    </xdr:to>
    <xdr:sp macro="[0]!Add_school_2" textlink="">
      <xdr:nvSpPr>
        <xdr:cNvPr id="2" name="Rectangle 1">
          <a:extLst>
            <a:ext uri="{FF2B5EF4-FFF2-40B4-BE49-F238E27FC236}">
              <a16:creationId xmlns:a16="http://schemas.microsoft.com/office/drawing/2014/main" id="{DD23852A-2E65-4264-BF22-AA72831BEF73}"/>
            </a:ext>
          </a:extLst>
        </xdr:cNvPr>
        <xdr:cNvSpPr/>
      </xdr:nvSpPr>
      <xdr:spPr>
        <a:xfrm>
          <a:off x="9620252" y="851298"/>
          <a:ext cx="2613421" cy="915079"/>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11</xdr:col>
      <xdr:colOff>1</xdr:colOff>
      <xdr:row>4</xdr:row>
      <xdr:rowOff>0</xdr:rowOff>
    </xdr:from>
    <xdr:to>
      <xdr:col>12</xdr:col>
      <xdr:colOff>0</xdr:colOff>
      <xdr:row>8</xdr:row>
      <xdr:rowOff>176892</xdr:rowOff>
    </xdr:to>
    <xdr:sp macro="[0]!Add_school_3" textlink="">
      <xdr:nvSpPr>
        <xdr:cNvPr id="3" name="Rectangle 2">
          <a:extLst>
            <a:ext uri="{FF2B5EF4-FFF2-40B4-BE49-F238E27FC236}">
              <a16:creationId xmlns:a16="http://schemas.microsoft.com/office/drawing/2014/main" id="{79AB6A18-FD0F-4C0A-AF70-B26F5F867166}"/>
            </a:ext>
          </a:extLst>
        </xdr:cNvPr>
        <xdr:cNvSpPr/>
      </xdr:nvSpPr>
      <xdr:spPr>
        <a:xfrm>
          <a:off x="14062984"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15</xdr:col>
      <xdr:colOff>1</xdr:colOff>
      <xdr:row>4</xdr:row>
      <xdr:rowOff>6804</xdr:rowOff>
    </xdr:from>
    <xdr:to>
      <xdr:col>16</xdr:col>
      <xdr:colOff>0</xdr:colOff>
      <xdr:row>9</xdr:row>
      <xdr:rowOff>0</xdr:rowOff>
    </xdr:to>
    <xdr:sp macro="[0]!Add_school_4" textlink="">
      <xdr:nvSpPr>
        <xdr:cNvPr id="4" name="Rectangle 3">
          <a:extLst>
            <a:ext uri="{FF2B5EF4-FFF2-40B4-BE49-F238E27FC236}">
              <a16:creationId xmlns:a16="http://schemas.microsoft.com/office/drawing/2014/main" id="{11457D30-3BCB-40C4-89E7-0F4EB32BC75D}"/>
            </a:ext>
          </a:extLst>
        </xdr:cNvPr>
        <xdr:cNvSpPr/>
      </xdr:nvSpPr>
      <xdr:spPr>
        <a:xfrm>
          <a:off x="18645189" y="858102"/>
          <a:ext cx="2613421" cy="915929"/>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19</xdr:col>
      <xdr:colOff>20413</xdr:colOff>
      <xdr:row>4</xdr:row>
      <xdr:rowOff>6804</xdr:rowOff>
    </xdr:from>
    <xdr:to>
      <xdr:col>20</xdr:col>
      <xdr:colOff>20411</xdr:colOff>
      <xdr:row>9</xdr:row>
      <xdr:rowOff>0</xdr:rowOff>
    </xdr:to>
    <xdr:sp macro="[0]!Add_school_5" textlink="">
      <xdr:nvSpPr>
        <xdr:cNvPr id="5" name="Rectangle 4">
          <a:extLst>
            <a:ext uri="{FF2B5EF4-FFF2-40B4-BE49-F238E27FC236}">
              <a16:creationId xmlns:a16="http://schemas.microsoft.com/office/drawing/2014/main" id="{45FB8351-4963-48AB-945E-7D5F2FB5073C}"/>
            </a:ext>
          </a:extLst>
        </xdr:cNvPr>
        <xdr:cNvSpPr/>
      </xdr:nvSpPr>
      <xdr:spPr>
        <a:xfrm>
          <a:off x="23268217" y="857251"/>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23</xdr:col>
      <xdr:colOff>2</xdr:colOff>
      <xdr:row>4</xdr:row>
      <xdr:rowOff>6804</xdr:rowOff>
    </xdr:from>
    <xdr:to>
      <xdr:col>24</xdr:col>
      <xdr:colOff>0</xdr:colOff>
      <xdr:row>9</xdr:row>
      <xdr:rowOff>0</xdr:rowOff>
    </xdr:to>
    <xdr:sp macro="[0]!Add_school_6" textlink="">
      <xdr:nvSpPr>
        <xdr:cNvPr id="6" name="Rectangle 5">
          <a:extLst>
            <a:ext uri="{FF2B5EF4-FFF2-40B4-BE49-F238E27FC236}">
              <a16:creationId xmlns:a16="http://schemas.microsoft.com/office/drawing/2014/main" id="{96E82C00-67ED-42FC-B976-DD050C341A7C}"/>
            </a:ext>
          </a:extLst>
        </xdr:cNvPr>
        <xdr:cNvSpPr/>
      </xdr:nvSpPr>
      <xdr:spPr>
        <a:xfrm>
          <a:off x="27840216" y="857251"/>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27</xdr:col>
      <xdr:colOff>0</xdr:colOff>
      <xdr:row>3</xdr:row>
      <xdr:rowOff>156484</xdr:rowOff>
    </xdr:from>
    <xdr:to>
      <xdr:col>27</xdr:col>
      <xdr:colOff>2612570</xdr:colOff>
      <xdr:row>8</xdr:row>
      <xdr:rowOff>149679</xdr:rowOff>
    </xdr:to>
    <xdr:sp macro="[0]!Add_school_7" textlink="">
      <xdr:nvSpPr>
        <xdr:cNvPr id="7" name="Rectangle 6">
          <a:extLst>
            <a:ext uri="{FF2B5EF4-FFF2-40B4-BE49-F238E27FC236}">
              <a16:creationId xmlns:a16="http://schemas.microsoft.com/office/drawing/2014/main" id="{EA7A3E87-FE1B-4925-A378-8ACA1CB6EDAB}"/>
            </a:ext>
          </a:extLst>
        </xdr:cNvPr>
        <xdr:cNvSpPr/>
      </xdr:nvSpPr>
      <xdr:spPr>
        <a:xfrm>
          <a:off x="32432626" y="823234"/>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31</xdr:col>
      <xdr:colOff>1</xdr:colOff>
      <xdr:row>3</xdr:row>
      <xdr:rowOff>170090</xdr:rowOff>
    </xdr:from>
    <xdr:to>
      <xdr:col>32</xdr:col>
      <xdr:colOff>0</xdr:colOff>
      <xdr:row>8</xdr:row>
      <xdr:rowOff>163285</xdr:rowOff>
    </xdr:to>
    <xdr:sp macro="[0]!Add_school_8" textlink="">
      <xdr:nvSpPr>
        <xdr:cNvPr id="8" name="Rectangle 7">
          <a:extLst>
            <a:ext uri="{FF2B5EF4-FFF2-40B4-BE49-F238E27FC236}">
              <a16:creationId xmlns:a16="http://schemas.microsoft.com/office/drawing/2014/main" id="{15C593D6-3AA8-4DF9-9634-B5B5DA61F223}"/>
            </a:ext>
          </a:extLst>
        </xdr:cNvPr>
        <xdr:cNvSpPr/>
      </xdr:nvSpPr>
      <xdr:spPr>
        <a:xfrm>
          <a:off x="37025037" y="836840"/>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35</xdr:col>
      <xdr:colOff>2</xdr:colOff>
      <xdr:row>4</xdr:row>
      <xdr:rowOff>0</xdr:rowOff>
    </xdr:from>
    <xdr:to>
      <xdr:col>36</xdr:col>
      <xdr:colOff>0</xdr:colOff>
      <xdr:row>8</xdr:row>
      <xdr:rowOff>176892</xdr:rowOff>
    </xdr:to>
    <xdr:sp macro="[0]!Add_school_9" textlink="">
      <xdr:nvSpPr>
        <xdr:cNvPr id="9" name="Rectangle 8">
          <a:extLst>
            <a:ext uri="{FF2B5EF4-FFF2-40B4-BE49-F238E27FC236}">
              <a16:creationId xmlns:a16="http://schemas.microsoft.com/office/drawing/2014/main" id="{F7B438CF-1826-4214-9F0D-48486D817630}"/>
            </a:ext>
          </a:extLst>
        </xdr:cNvPr>
        <xdr:cNvSpPr/>
      </xdr:nvSpPr>
      <xdr:spPr>
        <a:xfrm>
          <a:off x="41617449"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39</xdr:col>
      <xdr:colOff>0</xdr:colOff>
      <xdr:row>4</xdr:row>
      <xdr:rowOff>0</xdr:rowOff>
    </xdr:from>
    <xdr:to>
      <xdr:col>39</xdr:col>
      <xdr:colOff>2612570</xdr:colOff>
      <xdr:row>8</xdr:row>
      <xdr:rowOff>176892</xdr:rowOff>
    </xdr:to>
    <xdr:sp macro="[0]!Add_school_10" textlink="">
      <xdr:nvSpPr>
        <xdr:cNvPr id="10" name="Rectangle 9">
          <a:extLst>
            <a:ext uri="{FF2B5EF4-FFF2-40B4-BE49-F238E27FC236}">
              <a16:creationId xmlns:a16="http://schemas.microsoft.com/office/drawing/2014/main" id="{956EADE9-AFB6-406B-B2A5-C90974099152}"/>
            </a:ext>
          </a:extLst>
        </xdr:cNvPr>
        <xdr:cNvSpPr/>
      </xdr:nvSpPr>
      <xdr:spPr>
        <a:xfrm>
          <a:off x="46209857"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43</xdr:col>
      <xdr:colOff>0</xdr:colOff>
      <xdr:row>4</xdr:row>
      <xdr:rowOff>0</xdr:rowOff>
    </xdr:from>
    <xdr:to>
      <xdr:col>43</xdr:col>
      <xdr:colOff>2612570</xdr:colOff>
      <xdr:row>8</xdr:row>
      <xdr:rowOff>176892</xdr:rowOff>
    </xdr:to>
    <xdr:sp macro="[0]!Add_school_11" textlink="">
      <xdr:nvSpPr>
        <xdr:cNvPr id="11" name="Rectangle 10">
          <a:extLst>
            <a:ext uri="{FF2B5EF4-FFF2-40B4-BE49-F238E27FC236}">
              <a16:creationId xmlns:a16="http://schemas.microsoft.com/office/drawing/2014/main" id="{AE41C2ED-8C52-49A9-941A-2F49A2FBCF79}"/>
            </a:ext>
          </a:extLst>
        </xdr:cNvPr>
        <xdr:cNvSpPr/>
      </xdr:nvSpPr>
      <xdr:spPr>
        <a:xfrm>
          <a:off x="50802269"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47</xdr:col>
      <xdr:colOff>0</xdr:colOff>
      <xdr:row>4</xdr:row>
      <xdr:rowOff>0</xdr:rowOff>
    </xdr:from>
    <xdr:to>
      <xdr:col>47</xdr:col>
      <xdr:colOff>2612570</xdr:colOff>
      <xdr:row>8</xdr:row>
      <xdr:rowOff>176892</xdr:rowOff>
    </xdr:to>
    <xdr:sp macro="[0]!Add_school_12" textlink="">
      <xdr:nvSpPr>
        <xdr:cNvPr id="12" name="Rectangle 11">
          <a:extLst>
            <a:ext uri="{FF2B5EF4-FFF2-40B4-BE49-F238E27FC236}">
              <a16:creationId xmlns:a16="http://schemas.microsoft.com/office/drawing/2014/main" id="{1A5CAE7E-288E-4E07-9E08-7E7CDB53AFE4}"/>
            </a:ext>
          </a:extLst>
        </xdr:cNvPr>
        <xdr:cNvSpPr/>
      </xdr:nvSpPr>
      <xdr:spPr>
        <a:xfrm>
          <a:off x="55394679"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51</xdr:col>
      <xdr:colOff>0</xdr:colOff>
      <xdr:row>4</xdr:row>
      <xdr:rowOff>0</xdr:rowOff>
    </xdr:from>
    <xdr:to>
      <xdr:col>51</xdr:col>
      <xdr:colOff>2612570</xdr:colOff>
      <xdr:row>8</xdr:row>
      <xdr:rowOff>176892</xdr:rowOff>
    </xdr:to>
    <xdr:sp macro="[0]!Add_school_13" textlink="">
      <xdr:nvSpPr>
        <xdr:cNvPr id="13" name="Rectangle 12">
          <a:extLst>
            <a:ext uri="{FF2B5EF4-FFF2-40B4-BE49-F238E27FC236}">
              <a16:creationId xmlns:a16="http://schemas.microsoft.com/office/drawing/2014/main" id="{5DC08CC7-8E48-4A01-B4A7-7AE172FBE452}"/>
            </a:ext>
          </a:extLst>
        </xdr:cNvPr>
        <xdr:cNvSpPr/>
      </xdr:nvSpPr>
      <xdr:spPr>
        <a:xfrm>
          <a:off x="59987090"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55</xdr:col>
      <xdr:colOff>0</xdr:colOff>
      <xdr:row>4</xdr:row>
      <xdr:rowOff>0</xdr:rowOff>
    </xdr:from>
    <xdr:to>
      <xdr:col>55</xdr:col>
      <xdr:colOff>2612570</xdr:colOff>
      <xdr:row>8</xdr:row>
      <xdr:rowOff>176892</xdr:rowOff>
    </xdr:to>
    <xdr:sp macro="[0]!Add_school_14" textlink="">
      <xdr:nvSpPr>
        <xdr:cNvPr id="14" name="Rectangle 13">
          <a:extLst>
            <a:ext uri="{FF2B5EF4-FFF2-40B4-BE49-F238E27FC236}">
              <a16:creationId xmlns:a16="http://schemas.microsoft.com/office/drawing/2014/main" id="{28E2B038-57EC-47CD-8DDA-29390FF9293B}"/>
            </a:ext>
          </a:extLst>
        </xdr:cNvPr>
        <xdr:cNvSpPr/>
      </xdr:nvSpPr>
      <xdr:spPr>
        <a:xfrm>
          <a:off x="64579500"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59</xdr:col>
      <xdr:colOff>0</xdr:colOff>
      <xdr:row>4</xdr:row>
      <xdr:rowOff>0</xdr:rowOff>
    </xdr:from>
    <xdr:to>
      <xdr:col>59</xdr:col>
      <xdr:colOff>2612570</xdr:colOff>
      <xdr:row>8</xdr:row>
      <xdr:rowOff>176892</xdr:rowOff>
    </xdr:to>
    <xdr:sp macro="[0]!Add_school_15" textlink="">
      <xdr:nvSpPr>
        <xdr:cNvPr id="15" name="Rectangle 14">
          <a:extLst>
            <a:ext uri="{FF2B5EF4-FFF2-40B4-BE49-F238E27FC236}">
              <a16:creationId xmlns:a16="http://schemas.microsoft.com/office/drawing/2014/main" id="{6B346450-7842-4CB9-8411-D8008F515C94}"/>
            </a:ext>
          </a:extLst>
        </xdr:cNvPr>
        <xdr:cNvSpPr/>
      </xdr:nvSpPr>
      <xdr:spPr>
        <a:xfrm>
          <a:off x="69171911"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63</xdr:col>
      <xdr:colOff>0</xdr:colOff>
      <xdr:row>4</xdr:row>
      <xdr:rowOff>0</xdr:rowOff>
    </xdr:from>
    <xdr:to>
      <xdr:col>63</xdr:col>
      <xdr:colOff>2612570</xdr:colOff>
      <xdr:row>8</xdr:row>
      <xdr:rowOff>176892</xdr:rowOff>
    </xdr:to>
    <xdr:sp macro="[0]!Add_school_16" textlink="">
      <xdr:nvSpPr>
        <xdr:cNvPr id="16" name="Rectangle 15">
          <a:extLst>
            <a:ext uri="{FF2B5EF4-FFF2-40B4-BE49-F238E27FC236}">
              <a16:creationId xmlns:a16="http://schemas.microsoft.com/office/drawing/2014/main" id="{A53EA52C-1A39-4992-A75C-5124933E743C}"/>
            </a:ext>
          </a:extLst>
        </xdr:cNvPr>
        <xdr:cNvSpPr/>
      </xdr:nvSpPr>
      <xdr:spPr>
        <a:xfrm>
          <a:off x="73764321"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67</xdr:col>
      <xdr:colOff>0</xdr:colOff>
      <xdr:row>4</xdr:row>
      <xdr:rowOff>0</xdr:rowOff>
    </xdr:from>
    <xdr:to>
      <xdr:col>67</xdr:col>
      <xdr:colOff>2612570</xdr:colOff>
      <xdr:row>8</xdr:row>
      <xdr:rowOff>176892</xdr:rowOff>
    </xdr:to>
    <xdr:sp macro="[0]!Add_school_17" textlink="">
      <xdr:nvSpPr>
        <xdr:cNvPr id="17" name="Rectangle 16">
          <a:extLst>
            <a:ext uri="{FF2B5EF4-FFF2-40B4-BE49-F238E27FC236}">
              <a16:creationId xmlns:a16="http://schemas.microsoft.com/office/drawing/2014/main" id="{51F1AF75-578D-46DA-AD78-46FC994BC69C}"/>
            </a:ext>
          </a:extLst>
        </xdr:cNvPr>
        <xdr:cNvSpPr/>
      </xdr:nvSpPr>
      <xdr:spPr>
        <a:xfrm>
          <a:off x="78356733"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71</xdr:col>
      <xdr:colOff>0</xdr:colOff>
      <xdr:row>4</xdr:row>
      <xdr:rowOff>0</xdr:rowOff>
    </xdr:from>
    <xdr:to>
      <xdr:col>71</xdr:col>
      <xdr:colOff>2612570</xdr:colOff>
      <xdr:row>8</xdr:row>
      <xdr:rowOff>176892</xdr:rowOff>
    </xdr:to>
    <xdr:sp macro="[0]!Add_school_18" textlink="">
      <xdr:nvSpPr>
        <xdr:cNvPr id="18" name="Rectangle 17">
          <a:extLst>
            <a:ext uri="{FF2B5EF4-FFF2-40B4-BE49-F238E27FC236}">
              <a16:creationId xmlns:a16="http://schemas.microsoft.com/office/drawing/2014/main" id="{84D22223-0575-4840-9E3E-57A0D26FB225}"/>
            </a:ext>
          </a:extLst>
        </xdr:cNvPr>
        <xdr:cNvSpPr/>
      </xdr:nvSpPr>
      <xdr:spPr>
        <a:xfrm>
          <a:off x="82949143"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75</xdr:col>
      <xdr:colOff>0</xdr:colOff>
      <xdr:row>4</xdr:row>
      <xdr:rowOff>0</xdr:rowOff>
    </xdr:from>
    <xdr:to>
      <xdr:col>75</xdr:col>
      <xdr:colOff>2612570</xdr:colOff>
      <xdr:row>8</xdr:row>
      <xdr:rowOff>176892</xdr:rowOff>
    </xdr:to>
    <xdr:sp macro="[0]!Add_school_19" textlink="">
      <xdr:nvSpPr>
        <xdr:cNvPr id="19" name="Rectangle 18">
          <a:extLst>
            <a:ext uri="{FF2B5EF4-FFF2-40B4-BE49-F238E27FC236}">
              <a16:creationId xmlns:a16="http://schemas.microsoft.com/office/drawing/2014/main" id="{A2AA7F76-5060-48C1-8A3B-1E7D6D8616BF}"/>
            </a:ext>
          </a:extLst>
        </xdr:cNvPr>
        <xdr:cNvSpPr/>
      </xdr:nvSpPr>
      <xdr:spPr>
        <a:xfrm>
          <a:off x="87541554"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79</xdr:col>
      <xdr:colOff>0</xdr:colOff>
      <xdr:row>4</xdr:row>
      <xdr:rowOff>0</xdr:rowOff>
    </xdr:from>
    <xdr:to>
      <xdr:col>79</xdr:col>
      <xdr:colOff>2612570</xdr:colOff>
      <xdr:row>8</xdr:row>
      <xdr:rowOff>176892</xdr:rowOff>
    </xdr:to>
    <xdr:sp macro="[0]!Add_school_20" textlink="">
      <xdr:nvSpPr>
        <xdr:cNvPr id="20" name="Rectangle 19">
          <a:extLst>
            <a:ext uri="{FF2B5EF4-FFF2-40B4-BE49-F238E27FC236}">
              <a16:creationId xmlns:a16="http://schemas.microsoft.com/office/drawing/2014/main" id="{A31D4BCA-A2BD-458F-B00C-18ECC95EA0BD}"/>
            </a:ext>
          </a:extLst>
        </xdr:cNvPr>
        <xdr:cNvSpPr/>
      </xdr:nvSpPr>
      <xdr:spPr>
        <a:xfrm>
          <a:off x="92133964" y="850447"/>
          <a:ext cx="2612570" cy="911678"/>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5</xdr:col>
      <xdr:colOff>0</xdr:colOff>
      <xdr:row>29</xdr:row>
      <xdr:rowOff>166684</xdr:rowOff>
    </xdr:from>
    <xdr:to>
      <xdr:col>8</xdr:col>
      <xdr:colOff>0</xdr:colOff>
      <xdr:row>32</xdr:row>
      <xdr:rowOff>50171</xdr:rowOff>
    </xdr:to>
    <xdr:sp macro="[0]!Reset_school_1" textlink="">
      <xdr:nvSpPr>
        <xdr:cNvPr id="21" name="Rectangle 20">
          <a:extLst>
            <a:ext uri="{FF2B5EF4-FFF2-40B4-BE49-F238E27FC236}">
              <a16:creationId xmlns:a16="http://schemas.microsoft.com/office/drawing/2014/main" id="{ADB84697-CFD9-46D6-A530-F223904374A9}"/>
            </a:ext>
          </a:extLst>
        </xdr:cNvPr>
        <xdr:cNvSpPr/>
      </xdr:nvSpPr>
      <xdr:spPr>
        <a:xfrm>
          <a:off x="8221266" y="6036465"/>
          <a:ext cx="4012407"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a:t>
          </a:r>
          <a:r>
            <a:rPr lang="en-GB" sz="1200" baseline="0">
              <a:solidFill>
                <a:sysClr val="windowText" lastClr="000000"/>
              </a:solidFill>
              <a:latin typeface="Arial" panose="020B0604020202020204" pitchFamily="34" charset="0"/>
              <a:cs typeface="Arial" panose="020B0604020202020204" pitchFamily="34" charset="0"/>
            </a:rPr>
            <a:t>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9</xdr:col>
      <xdr:colOff>0</xdr:colOff>
      <xdr:row>29</xdr:row>
      <xdr:rowOff>166684</xdr:rowOff>
    </xdr:from>
    <xdr:to>
      <xdr:col>11</xdr:col>
      <xdr:colOff>2612464</xdr:colOff>
      <xdr:row>32</xdr:row>
      <xdr:rowOff>50171</xdr:rowOff>
    </xdr:to>
    <xdr:sp macro="[0]!Reset_school_2" textlink="">
      <xdr:nvSpPr>
        <xdr:cNvPr id="22" name="Rectangle 21">
          <a:extLst>
            <a:ext uri="{FF2B5EF4-FFF2-40B4-BE49-F238E27FC236}">
              <a16:creationId xmlns:a16="http://schemas.microsoft.com/office/drawing/2014/main" id="{BCE1EBE0-7C37-4C99-83C7-23528097C348}"/>
            </a:ext>
          </a:extLst>
        </xdr:cNvPr>
        <xdr:cNvSpPr/>
      </xdr:nvSpPr>
      <xdr:spPr>
        <a:xfrm>
          <a:off x="12811125"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13</xdr:col>
      <xdr:colOff>0</xdr:colOff>
      <xdr:row>29</xdr:row>
      <xdr:rowOff>166684</xdr:rowOff>
    </xdr:from>
    <xdr:to>
      <xdr:col>15</xdr:col>
      <xdr:colOff>2612464</xdr:colOff>
      <xdr:row>32</xdr:row>
      <xdr:rowOff>50171</xdr:rowOff>
    </xdr:to>
    <xdr:sp macro="[0]!Reset_school_3" textlink="">
      <xdr:nvSpPr>
        <xdr:cNvPr id="23" name="Rectangle 22">
          <a:extLst>
            <a:ext uri="{FF2B5EF4-FFF2-40B4-BE49-F238E27FC236}">
              <a16:creationId xmlns:a16="http://schemas.microsoft.com/office/drawing/2014/main" id="{1A97B6DC-67AB-4D05-82F7-EA1C67A21B8D}"/>
            </a:ext>
          </a:extLst>
        </xdr:cNvPr>
        <xdr:cNvSpPr/>
      </xdr:nvSpPr>
      <xdr:spPr>
        <a:xfrm>
          <a:off x="17400985" y="6036465"/>
          <a:ext cx="4011448"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17</xdr:col>
      <xdr:colOff>0</xdr:colOff>
      <xdr:row>29</xdr:row>
      <xdr:rowOff>166684</xdr:rowOff>
    </xdr:from>
    <xdr:to>
      <xdr:col>19</xdr:col>
      <xdr:colOff>2612465</xdr:colOff>
      <xdr:row>32</xdr:row>
      <xdr:rowOff>50171</xdr:rowOff>
    </xdr:to>
    <xdr:sp macro="[0]!Reset_school_4" textlink="">
      <xdr:nvSpPr>
        <xdr:cNvPr id="24" name="Rectangle 23">
          <a:extLst>
            <a:ext uri="{FF2B5EF4-FFF2-40B4-BE49-F238E27FC236}">
              <a16:creationId xmlns:a16="http://schemas.microsoft.com/office/drawing/2014/main" id="{10434BAE-82D3-499B-8827-00F27C972FAB}"/>
            </a:ext>
          </a:extLst>
        </xdr:cNvPr>
        <xdr:cNvSpPr/>
      </xdr:nvSpPr>
      <xdr:spPr>
        <a:xfrm>
          <a:off x="21990844" y="6036465"/>
          <a:ext cx="4011450"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21</xdr:col>
      <xdr:colOff>0</xdr:colOff>
      <xdr:row>29</xdr:row>
      <xdr:rowOff>166684</xdr:rowOff>
    </xdr:from>
    <xdr:to>
      <xdr:col>23</xdr:col>
      <xdr:colOff>2612465</xdr:colOff>
      <xdr:row>32</xdr:row>
      <xdr:rowOff>50171</xdr:rowOff>
    </xdr:to>
    <xdr:sp macro="[0]!Reset_school_5" textlink="">
      <xdr:nvSpPr>
        <xdr:cNvPr id="25" name="Rectangle 24">
          <a:extLst>
            <a:ext uri="{FF2B5EF4-FFF2-40B4-BE49-F238E27FC236}">
              <a16:creationId xmlns:a16="http://schemas.microsoft.com/office/drawing/2014/main" id="{E34F7A27-4125-4898-ABBA-2ED76B58D69C}"/>
            </a:ext>
          </a:extLst>
        </xdr:cNvPr>
        <xdr:cNvSpPr/>
      </xdr:nvSpPr>
      <xdr:spPr>
        <a:xfrm>
          <a:off x="26580704"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25</xdr:col>
      <xdr:colOff>0</xdr:colOff>
      <xdr:row>29</xdr:row>
      <xdr:rowOff>166684</xdr:rowOff>
    </xdr:from>
    <xdr:to>
      <xdr:col>27</xdr:col>
      <xdr:colOff>2612464</xdr:colOff>
      <xdr:row>32</xdr:row>
      <xdr:rowOff>50171</xdr:rowOff>
    </xdr:to>
    <xdr:sp macro="[0]!Reset_school_6" textlink="">
      <xdr:nvSpPr>
        <xdr:cNvPr id="26" name="Rectangle 25">
          <a:extLst>
            <a:ext uri="{FF2B5EF4-FFF2-40B4-BE49-F238E27FC236}">
              <a16:creationId xmlns:a16="http://schemas.microsoft.com/office/drawing/2014/main" id="{D7271CE6-0AC7-40CA-B435-A0483729E6E5}"/>
            </a:ext>
          </a:extLst>
        </xdr:cNvPr>
        <xdr:cNvSpPr/>
      </xdr:nvSpPr>
      <xdr:spPr>
        <a:xfrm>
          <a:off x="31170563"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29</xdr:col>
      <xdr:colOff>0</xdr:colOff>
      <xdr:row>29</xdr:row>
      <xdr:rowOff>166684</xdr:rowOff>
    </xdr:from>
    <xdr:to>
      <xdr:col>31</xdr:col>
      <xdr:colOff>2612464</xdr:colOff>
      <xdr:row>32</xdr:row>
      <xdr:rowOff>50171</xdr:rowOff>
    </xdr:to>
    <xdr:sp macro="[0]!Reset_school_7" textlink="">
      <xdr:nvSpPr>
        <xdr:cNvPr id="27" name="Rectangle 26">
          <a:extLst>
            <a:ext uri="{FF2B5EF4-FFF2-40B4-BE49-F238E27FC236}">
              <a16:creationId xmlns:a16="http://schemas.microsoft.com/office/drawing/2014/main" id="{9CA978ED-D363-4EAD-BD9E-6509486E6FA2}"/>
            </a:ext>
          </a:extLst>
        </xdr:cNvPr>
        <xdr:cNvSpPr/>
      </xdr:nvSpPr>
      <xdr:spPr>
        <a:xfrm>
          <a:off x="35760423" y="6036465"/>
          <a:ext cx="4011447"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33</xdr:col>
      <xdr:colOff>0</xdr:colOff>
      <xdr:row>29</xdr:row>
      <xdr:rowOff>166684</xdr:rowOff>
    </xdr:from>
    <xdr:to>
      <xdr:col>35</xdr:col>
      <xdr:colOff>2612464</xdr:colOff>
      <xdr:row>32</xdr:row>
      <xdr:rowOff>50171</xdr:rowOff>
    </xdr:to>
    <xdr:sp macro="[0]!Reset_school_8" textlink="">
      <xdr:nvSpPr>
        <xdr:cNvPr id="28" name="Rectangle 27">
          <a:extLst>
            <a:ext uri="{FF2B5EF4-FFF2-40B4-BE49-F238E27FC236}">
              <a16:creationId xmlns:a16="http://schemas.microsoft.com/office/drawing/2014/main" id="{C02B6322-B1F2-43C0-9DA5-AAAF4A215452}"/>
            </a:ext>
          </a:extLst>
        </xdr:cNvPr>
        <xdr:cNvSpPr/>
      </xdr:nvSpPr>
      <xdr:spPr>
        <a:xfrm>
          <a:off x="40350281"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37</xdr:col>
      <xdr:colOff>0</xdr:colOff>
      <xdr:row>29</xdr:row>
      <xdr:rowOff>166684</xdr:rowOff>
    </xdr:from>
    <xdr:to>
      <xdr:col>39</xdr:col>
      <xdr:colOff>2612464</xdr:colOff>
      <xdr:row>32</xdr:row>
      <xdr:rowOff>50171</xdr:rowOff>
    </xdr:to>
    <xdr:sp macro="[0]!Reset_school_9" textlink="">
      <xdr:nvSpPr>
        <xdr:cNvPr id="29" name="Rectangle 28">
          <a:extLst>
            <a:ext uri="{FF2B5EF4-FFF2-40B4-BE49-F238E27FC236}">
              <a16:creationId xmlns:a16="http://schemas.microsoft.com/office/drawing/2014/main" id="{3250342C-77B9-4F9E-BFA4-991CD91B9BB6}"/>
            </a:ext>
          </a:extLst>
        </xdr:cNvPr>
        <xdr:cNvSpPr/>
      </xdr:nvSpPr>
      <xdr:spPr>
        <a:xfrm>
          <a:off x="44940141" y="6036465"/>
          <a:ext cx="4011448"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41</xdr:col>
      <xdr:colOff>0</xdr:colOff>
      <xdr:row>29</xdr:row>
      <xdr:rowOff>166684</xdr:rowOff>
    </xdr:from>
    <xdr:to>
      <xdr:col>43</xdr:col>
      <xdr:colOff>2612464</xdr:colOff>
      <xdr:row>32</xdr:row>
      <xdr:rowOff>50171</xdr:rowOff>
    </xdr:to>
    <xdr:sp macro="[0]!Reset_school_10" textlink="">
      <xdr:nvSpPr>
        <xdr:cNvPr id="30" name="Rectangle 29">
          <a:extLst>
            <a:ext uri="{FF2B5EF4-FFF2-40B4-BE49-F238E27FC236}">
              <a16:creationId xmlns:a16="http://schemas.microsoft.com/office/drawing/2014/main" id="{83DD19F2-6ED9-425F-91D3-C885DD117BDF}"/>
            </a:ext>
          </a:extLst>
        </xdr:cNvPr>
        <xdr:cNvSpPr/>
      </xdr:nvSpPr>
      <xdr:spPr>
        <a:xfrm>
          <a:off x="49530000"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45</xdr:col>
      <xdr:colOff>0</xdr:colOff>
      <xdr:row>29</xdr:row>
      <xdr:rowOff>166684</xdr:rowOff>
    </xdr:from>
    <xdr:to>
      <xdr:col>47</xdr:col>
      <xdr:colOff>2612464</xdr:colOff>
      <xdr:row>32</xdr:row>
      <xdr:rowOff>50171</xdr:rowOff>
    </xdr:to>
    <xdr:sp macro="[0]!Reset_school_11" textlink="">
      <xdr:nvSpPr>
        <xdr:cNvPr id="31" name="Rectangle 30">
          <a:extLst>
            <a:ext uri="{FF2B5EF4-FFF2-40B4-BE49-F238E27FC236}">
              <a16:creationId xmlns:a16="http://schemas.microsoft.com/office/drawing/2014/main" id="{78CDC8B2-2D0A-4D54-A932-7C655050E685}"/>
            </a:ext>
          </a:extLst>
        </xdr:cNvPr>
        <xdr:cNvSpPr/>
      </xdr:nvSpPr>
      <xdr:spPr>
        <a:xfrm>
          <a:off x="54119860" y="6036465"/>
          <a:ext cx="4011448"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49</xdr:col>
      <xdr:colOff>0</xdr:colOff>
      <xdr:row>29</xdr:row>
      <xdr:rowOff>166684</xdr:rowOff>
    </xdr:from>
    <xdr:to>
      <xdr:col>51</xdr:col>
      <xdr:colOff>2612464</xdr:colOff>
      <xdr:row>32</xdr:row>
      <xdr:rowOff>50171</xdr:rowOff>
    </xdr:to>
    <xdr:sp macro="[0]!Reset_school_12" textlink="">
      <xdr:nvSpPr>
        <xdr:cNvPr id="32" name="Rectangle 31">
          <a:extLst>
            <a:ext uri="{FF2B5EF4-FFF2-40B4-BE49-F238E27FC236}">
              <a16:creationId xmlns:a16="http://schemas.microsoft.com/office/drawing/2014/main" id="{787684B8-853A-48D3-A91A-7FF546D3410B}"/>
            </a:ext>
          </a:extLst>
        </xdr:cNvPr>
        <xdr:cNvSpPr/>
      </xdr:nvSpPr>
      <xdr:spPr>
        <a:xfrm>
          <a:off x="58709719"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53</xdr:col>
      <xdr:colOff>0</xdr:colOff>
      <xdr:row>29</xdr:row>
      <xdr:rowOff>166684</xdr:rowOff>
    </xdr:from>
    <xdr:to>
      <xdr:col>55</xdr:col>
      <xdr:colOff>2612464</xdr:colOff>
      <xdr:row>32</xdr:row>
      <xdr:rowOff>50171</xdr:rowOff>
    </xdr:to>
    <xdr:sp macro="[0]!Reset_school_13" textlink="">
      <xdr:nvSpPr>
        <xdr:cNvPr id="33" name="Rectangle 32">
          <a:extLst>
            <a:ext uri="{FF2B5EF4-FFF2-40B4-BE49-F238E27FC236}">
              <a16:creationId xmlns:a16="http://schemas.microsoft.com/office/drawing/2014/main" id="{79AE6AF6-038D-4B2B-A7CF-78D192051357}"/>
            </a:ext>
          </a:extLst>
        </xdr:cNvPr>
        <xdr:cNvSpPr/>
      </xdr:nvSpPr>
      <xdr:spPr>
        <a:xfrm>
          <a:off x="63299579" y="6036465"/>
          <a:ext cx="4011448"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57</xdr:col>
      <xdr:colOff>0</xdr:colOff>
      <xdr:row>29</xdr:row>
      <xdr:rowOff>166684</xdr:rowOff>
    </xdr:from>
    <xdr:to>
      <xdr:col>59</xdr:col>
      <xdr:colOff>2612465</xdr:colOff>
      <xdr:row>32</xdr:row>
      <xdr:rowOff>50171</xdr:rowOff>
    </xdr:to>
    <xdr:sp macro="[0]!Reset_school_14" textlink="">
      <xdr:nvSpPr>
        <xdr:cNvPr id="34" name="Rectangle 33">
          <a:extLst>
            <a:ext uri="{FF2B5EF4-FFF2-40B4-BE49-F238E27FC236}">
              <a16:creationId xmlns:a16="http://schemas.microsoft.com/office/drawing/2014/main" id="{CCBA1ADC-6F0F-448A-BA76-E39486E7F3F1}"/>
            </a:ext>
          </a:extLst>
        </xdr:cNvPr>
        <xdr:cNvSpPr/>
      </xdr:nvSpPr>
      <xdr:spPr>
        <a:xfrm>
          <a:off x="67889438" y="6036465"/>
          <a:ext cx="4011450"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61</xdr:col>
      <xdr:colOff>0</xdr:colOff>
      <xdr:row>29</xdr:row>
      <xdr:rowOff>166684</xdr:rowOff>
    </xdr:from>
    <xdr:to>
      <xdr:col>63</xdr:col>
      <xdr:colOff>2612465</xdr:colOff>
      <xdr:row>32</xdr:row>
      <xdr:rowOff>50171</xdr:rowOff>
    </xdr:to>
    <xdr:sp macro="[0]!Reset_school_15" textlink="">
      <xdr:nvSpPr>
        <xdr:cNvPr id="35" name="Rectangle 34">
          <a:extLst>
            <a:ext uri="{FF2B5EF4-FFF2-40B4-BE49-F238E27FC236}">
              <a16:creationId xmlns:a16="http://schemas.microsoft.com/office/drawing/2014/main" id="{A5BDEA8C-9406-4DE2-A6B9-4CDF298982D7}"/>
            </a:ext>
          </a:extLst>
        </xdr:cNvPr>
        <xdr:cNvSpPr/>
      </xdr:nvSpPr>
      <xdr:spPr>
        <a:xfrm>
          <a:off x="72479298" y="6036465"/>
          <a:ext cx="4011448"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65</xdr:col>
      <xdr:colOff>0</xdr:colOff>
      <xdr:row>29</xdr:row>
      <xdr:rowOff>166684</xdr:rowOff>
    </xdr:from>
    <xdr:to>
      <xdr:col>67</xdr:col>
      <xdr:colOff>2612464</xdr:colOff>
      <xdr:row>32</xdr:row>
      <xdr:rowOff>50171</xdr:rowOff>
    </xdr:to>
    <xdr:sp macro="[0]!Reset_school_16" textlink="">
      <xdr:nvSpPr>
        <xdr:cNvPr id="36" name="Rectangle 35">
          <a:extLst>
            <a:ext uri="{FF2B5EF4-FFF2-40B4-BE49-F238E27FC236}">
              <a16:creationId xmlns:a16="http://schemas.microsoft.com/office/drawing/2014/main" id="{B44CFA12-0385-4D05-842D-A082D5E403B3}"/>
            </a:ext>
          </a:extLst>
        </xdr:cNvPr>
        <xdr:cNvSpPr/>
      </xdr:nvSpPr>
      <xdr:spPr>
        <a:xfrm>
          <a:off x="77069156"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69</xdr:col>
      <xdr:colOff>0</xdr:colOff>
      <xdr:row>29</xdr:row>
      <xdr:rowOff>166684</xdr:rowOff>
    </xdr:from>
    <xdr:to>
      <xdr:col>71</xdr:col>
      <xdr:colOff>2612464</xdr:colOff>
      <xdr:row>32</xdr:row>
      <xdr:rowOff>50171</xdr:rowOff>
    </xdr:to>
    <xdr:sp macro="[0]!Reset_school_17" textlink="">
      <xdr:nvSpPr>
        <xdr:cNvPr id="37" name="Rectangle 36">
          <a:extLst>
            <a:ext uri="{FF2B5EF4-FFF2-40B4-BE49-F238E27FC236}">
              <a16:creationId xmlns:a16="http://schemas.microsoft.com/office/drawing/2014/main" id="{F8E3B8B0-59A6-4B6C-A73A-2B3995A22EE7}"/>
            </a:ext>
          </a:extLst>
        </xdr:cNvPr>
        <xdr:cNvSpPr/>
      </xdr:nvSpPr>
      <xdr:spPr>
        <a:xfrm>
          <a:off x="81659016" y="6036465"/>
          <a:ext cx="4011448"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73</xdr:col>
      <xdr:colOff>0</xdr:colOff>
      <xdr:row>29</xdr:row>
      <xdr:rowOff>166684</xdr:rowOff>
    </xdr:from>
    <xdr:to>
      <xdr:col>75</xdr:col>
      <xdr:colOff>2612465</xdr:colOff>
      <xdr:row>32</xdr:row>
      <xdr:rowOff>50171</xdr:rowOff>
    </xdr:to>
    <xdr:sp macro="[0]!Reset_school_18" textlink="">
      <xdr:nvSpPr>
        <xdr:cNvPr id="38" name="Rectangle 37">
          <a:extLst>
            <a:ext uri="{FF2B5EF4-FFF2-40B4-BE49-F238E27FC236}">
              <a16:creationId xmlns:a16="http://schemas.microsoft.com/office/drawing/2014/main" id="{5621F1F9-ED52-49C5-ADE6-6E4EF9AC5788}"/>
            </a:ext>
          </a:extLst>
        </xdr:cNvPr>
        <xdr:cNvSpPr/>
      </xdr:nvSpPr>
      <xdr:spPr>
        <a:xfrm>
          <a:off x="86248875" y="6036465"/>
          <a:ext cx="4011450"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77</xdr:col>
      <xdr:colOff>0</xdr:colOff>
      <xdr:row>29</xdr:row>
      <xdr:rowOff>166684</xdr:rowOff>
    </xdr:from>
    <xdr:to>
      <xdr:col>79</xdr:col>
      <xdr:colOff>2612465</xdr:colOff>
      <xdr:row>32</xdr:row>
      <xdr:rowOff>50171</xdr:rowOff>
    </xdr:to>
    <xdr:sp macro="[0]!Reset_school_19" textlink="">
      <xdr:nvSpPr>
        <xdr:cNvPr id="39" name="Rectangle 38">
          <a:extLst>
            <a:ext uri="{FF2B5EF4-FFF2-40B4-BE49-F238E27FC236}">
              <a16:creationId xmlns:a16="http://schemas.microsoft.com/office/drawing/2014/main" id="{31902C8C-5DE2-41FF-9A33-2E76165FC804}"/>
            </a:ext>
          </a:extLst>
        </xdr:cNvPr>
        <xdr:cNvSpPr/>
      </xdr:nvSpPr>
      <xdr:spPr>
        <a:xfrm>
          <a:off x="90838735"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81</xdr:col>
      <xdr:colOff>0</xdr:colOff>
      <xdr:row>29</xdr:row>
      <xdr:rowOff>166684</xdr:rowOff>
    </xdr:from>
    <xdr:to>
      <xdr:col>83</xdr:col>
      <xdr:colOff>2612464</xdr:colOff>
      <xdr:row>32</xdr:row>
      <xdr:rowOff>50171</xdr:rowOff>
    </xdr:to>
    <xdr:sp macro="[0]!Reset_school_20" textlink="">
      <xdr:nvSpPr>
        <xdr:cNvPr id="40" name="Rectangle 39">
          <a:extLst>
            <a:ext uri="{FF2B5EF4-FFF2-40B4-BE49-F238E27FC236}">
              <a16:creationId xmlns:a16="http://schemas.microsoft.com/office/drawing/2014/main" id="{0A80CBAB-82DD-448B-9A73-50FBC98E937F}"/>
            </a:ext>
          </a:extLst>
        </xdr:cNvPr>
        <xdr:cNvSpPr/>
      </xdr:nvSpPr>
      <xdr:spPr>
        <a:xfrm>
          <a:off x="95428594" y="6036465"/>
          <a:ext cx="4011449" cy="4371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a:solidFill>
                <a:sysClr val="windowText" lastClr="000000"/>
              </a:solidFill>
              <a:latin typeface="Arial" panose="020B0604020202020204" pitchFamily="34" charset="0"/>
              <a:cs typeface="Arial" panose="020B0604020202020204" pitchFamily="34" charset="0"/>
            </a:rPr>
            <a:t>To reset the form to draw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sng">
              <a:solidFill>
                <a:schemeClr val="accent1">
                  <a:lumMod val="75000"/>
                </a:schemeClr>
              </a:solidFill>
              <a:latin typeface="Arial" panose="020B0604020202020204" pitchFamily="34" charset="0"/>
              <a:cs typeface="Arial" panose="020B0604020202020204" pitchFamily="34" charset="0"/>
            </a:rPr>
            <a:t> </a:t>
          </a:r>
        </a:p>
      </xdr:txBody>
    </xdr:sp>
    <xdr:clientData/>
  </xdr:twoCellAnchor>
  <xdr:twoCellAnchor>
    <xdr:from>
      <xdr:col>5</xdr:col>
      <xdr:colOff>0</xdr:colOff>
      <xdr:row>24</xdr:row>
      <xdr:rowOff>0</xdr:rowOff>
    </xdr:from>
    <xdr:to>
      <xdr:col>7</xdr:col>
      <xdr:colOff>2351484</xdr:colOff>
      <xdr:row>25</xdr:row>
      <xdr:rowOff>35718</xdr:rowOff>
    </xdr:to>
    <xdr:sp macro="[0]!RAG_school_1" textlink="">
      <xdr:nvSpPr>
        <xdr:cNvPr id="41" name="Rectangle 40">
          <a:extLst>
            <a:ext uri="{FF2B5EF4-FFF2-40B4-BE49-F238E27FC236}">
              <a16:creationId xmlns:a16="http://schemas.microsoft.com/office/drawing/2014/main" id="{E5AEB864-A52C-4E91-9443-BC8FA06E0442}"/>
            </a:ext>
          </a:extLst>
        </xdr:cNvPr>
        <xdr:cNvSpPr/>
      </xdr:nvSpPr>
      <xdr:spPr>
        <a:xfrm>
          <a:off x="8221266"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24</xdr:row>
      <xdr:rowOff>0</xdr:rowOff>
    </xdr:from>
    <xdr:to>
      <xdr:col>11</xdr:col>
      <xdr:colOff>2351483</xdr:colOff>
      <xdr:row>25</xdr:row>
      <xdr:rowOff>35718</xdr:rowOff>
    </xdr:to>
    <xdr:sp macro="[0]!RAG_school_2" textlink="">
      <xdr:nvSpPr>
        <xdr:cNvPr id="42" name="Rectangle 41">
          <a:extLst>
            <a:ext uri="{FF2B5EF4-FFF2-40B4-BE49-F238E27FC236}">
              <a16:creationId xmlns:a16="http://schemas.microsoft.com/office/drawing/2014/main" id="{22D8BDDC-B841-42A6-9488-5A699E8A9C8B}"/>
            </a:ext>
          </a:extLst>
        </xdr:cNvPr>
        <xdr:cNvSpPr/>
      </xdr:nvSpPr>
      <xdr:spPr>
        <a:xfrm>
          <a:off x="12811125"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0</xdr:colOff>
      <xdr:row>24</xdr:row>
      <xdr:rowOff>0</xdr:rowOff>
    </xdr:from>
    <xdr:to>
      <xdr:col>15</xdr:col>
      <xdr:colOff>2351484</xdr:colOff>
      <xdr:row>25</xdr:row>
      <xdr:rowOff>35718</xdr:rowOff>
    </xdr:to>
    <xdr:sp macro="[0]!RAG_school_3" textlink="">
      <xdr:nvSpPr>
        <xdr:cNvPr id="43" name="Rectangle 42">
          <a:extLst>
            <a:ext uri="{FF2B5EF4-FFF2-40B4-BE49-F238E27FC236}">
              <a16:creationId xmlns:a16="http://schemas.microsoft.com/office/drawing/2014/main" id="{A21E5E73-F102-410B-83F6-CA2C16A75B5E}"/>
            </a:ext>
          </a:extLst>
        </xdr:cNvPr>
        <xdr:cNvSpPr/>
      </xdr:nvSpPr>
      <xdr:spPr>
        <a:xfrm>
          <a:off x="17400985"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17</xdr:col>
      <xdr:colOff>0</xdr:colOff>
      <xdr:row>24</xdr:row>
      <xdr:rowOff>0</xdr:rowOff>
    </xdr:from>
    <xdr:to>
      <xdr:col>19</xdr:col>
      <xdr:colOff>2351483</xdr:colOff>
      <xdr:row>25</xdr:row>
      <xdr:rowOff>35718</xdr:rowOff>
    </xdr:to>
    <xdr:sp macro="[0]!RAG_school_4" textlink="">
      <xdr:nvSpPr>
        <xdr:cNvPr id="44" name="Rectangle 43">
          <a:extLst>
            <a:ext uri="{FF2B5EF4-FFF2-40B4-BE49-F238E27FC236}">
              <a16:creationId xmlns:a16="http://schemas.microsoft.com/office/drawing/2014/main" id="{E20D021B-872B-450F-942D-E8AB01B2343C}"/>
            </a:ext>
          </a:extLst>
        </xdr:cNvPr>
        <xdr:cNvSpPr/>
      </xdr:nvSpPr>
      <xdr:spPr>
        <a:xfrm>
          <a:off x="21990844"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21</xdr:col>
      <xdr:colOff>0</xdr:colOff>
      <xdr:row>24</xdr:row>
      <xdr:rowOff>0</xdr:rowOff>
    </xdr:from>
    <xdr:to>
      <xdr:col>23</xdr:col>
      <xdr:colOff>2351484</xdr:colOff>
      <xdr:row>25</xdr:row>
      <xdr:rowOff>35718</xdr:rowOff>
    </xdr:to>
    <xdr:sp macro="[0]!RAG_school_5" textlink="">
      <xdr:nvSpPr>
        <xdr:cNvPr id="45" name="Rectangle 44">
          <a:extLst>
            <a:ext uri="{FF2B5EF4-FFF2-40B4-BE49-F238E27FC236}">
              <a16:creationId xmlns:a16="http://schemas.microsoft.com/office/drawing/2014/main" id="{D6F14530-D80A-429C-817E-E1D56601EBFA}"/>
            </a:ext>
          </a:extLst>
        </xdr:cNvPr>
        <xdr:cNvSpPr/>
      </xdr:nvSpPr>
      <xdr:spPr>
        <a:xfrm>
          <a:off x="26580704"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25</xdr:col>
      <xdr:colOff>0</xdr:colOff>
      <xdr:row>24</xdr:row>
      <xdr:rowOff>0</xdr:rowOff>
    </xdr:from>
    <xdr:to>
      <xdr:col>27</xdr:col>
      <xdr:colOff>2351483</xdr:colOff>
      <xdr:row>25</xdr:row>
      <xdr:rowOff>35718</xdr:rowOff>
    </xdr:to>
    <xdr:sp macro="[0]!RAG_school_6" textlink="">
      <xdr:nvSpPr>
        <xdr:cNvPr id="46" name="Rectangle 45">
          <a:extLst>
            <a:ext uri="{FF2B5EF4-FFF2-40B4-BE49-F238E27FC236}">
              <a16:creationId xmlns:a16="http://schemas.microsoft.com/office/drawing/2014/main" id="{E0E58531-39BB-41AC-BCF7-B44A61798C35}"/>
            </a:ext>
          </a:extLst>
        </xdr:cNvPr>
        <xdr:cNvSpPr/>
      </xdr:nvSpPr>
      <xdr:spPr>
        <a:xfrm>
          <a:off x="31170563"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29</xdr:col>
      <xdr:colOff>0</xdr:colOff>
      <xdr:row>24</xdr:row>
      <xdr:rowOff>0</xdr:rowOff>
    </xdr:from>
    <xdr:to>
      <xdr:col>31</xdr:col>
      <xdr:colOff>2351485</xdr:colOff>
      <xdr:row>25</xdr:row>
      <xdr:rowOff>35718</xdr:rowOff>
    </xdr:to>
    <xdr:sp macro="[0]!RAG_school_7" textlink="">
      <xdr:nvSpPr>
        <xdr:cNvPr id="47" name="Rectangle 46">
          <a:extLst>
            <a:ext uri="{FF2B5EF4-FFF2-40B4-BE49-F238E27FC236}">
              <a16:creationId xmlns:a16="http://schemas.microsoft.com/office/drawing/2014/main" id="{53AA897B-48F1-46C6-BD0A-17346857C3E7}"/>
            </a:ext>
          </a:extLst>
        </xdr:cNvPr>
        <xdr:cNvSpPr/>
      </xdr:nvSpPr>
      <xdr:spPr>
        <a:xfrm>
          <a:off x="35760423"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33</xdr:col>
      <xdr:colOff>0</xdr:colOff>
      <xdr:row>24</xdr:row>
      <xdr:rowOff>0</xdr:rowOff>
    </xdr:from>
    <xdr:to>
      <xdr:col>35</xdr:col>
      <xdr:colOff>2351483</xdr:colOff>
      <xdr:row>25</xdr:row>
      <xdr:rowOff>35718</xdr:rowOff>
    </xdr:to>
    <xdr:sp macro="[0]!RAG_school_8" textlink="">
      <xdr:nvSpPr>
        <xdr:cNvPr id="48" name="Rectangle 47">
          <a:extLst>
            <a:ext uri="{FF2B5EF4-FFF2-40B4-BE49-F238E27FC236}">
              <a16:creationId xmlns:a16="http://schemas.microsoft.com/office/drawing/2014/main" id="{B4BE7424-38F9-495B-BE03-DD65C391D23F}"/>
            </a:ext>
          </a:extLst>
        </xdr:cNvPr>
        <xdr:cNvSpPr/>
      </xdr:nvSpPr>
      <xdr:spPr>
        <a:xfrm>
          <a:off x="40350281"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37</xdr:col>
      <xdr:colOff>0</xdr:colOff>
      <xdr:row>24</xdr:row>
      <xdr:rowOff>0</xdr:rowOff>
    </xdr:from>
    <xdr:to>
      <xdr:col>39</xdr:col>
      <xdr:colOff>2351484</xdr:colOff>
      <xdr:row>25</xdr:row>
      <xdr:rowOff>35718</xdr:rowOff>
    </xdr:to>
    <xdr:sp macro="[0]!RAG_school_9" textlink="">
      <xdr:nvSpPr>
        <xdr:cNvPr id="49" name="Rectangle 48">
          <a:extLst>
            <a:ext uri="{FF2B5EF4-FFF2-40B4-BE49-F238E27FC236}">
              <a16:creationId xmlns:a16="http://schemas.microsoft.com/office/drawing/2014/main" id="{31A41E45-D5D5-4A14-908F-D32BBFAADE86}"/>
            </a:ext>
          </a:extLst>
        </xdr:cNvPr>
        <xdr:cNvSpPr/>
      </xdr:nvSpPr>
      <xdr:spPr>
        <a:xfrm>
          <a:off x="44940141"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41</xdr:col>
      <xdr:colOff>0</xdr:colOff>
      <xdr:row>24</xdr:row>
      <xdr:rowOff>0</xdr:rowOff>
    </xdr:from>
    <xdr:to>
      <xdr:col>43</xdr:col>
      <xdr:colOff>2351483</xdr:colOff>
      <xdr:row>25</xdr:row>
      <xdr:rowOff>35718</xdr:rowOff>
    </xdr:to>
    <xdr:sp macro="[0]!RAG_school_10" textlink="">
      <xdr:nvSpPr>
        <xdr:cNvPr id="50" name="Rectangle 49">
          <a:extLst>
            <a:ext uri="{FF2B5EF4-FFF2-40B4-BE49-F238E27FC236}">
              <a16:creationId xmlns:a16="http://schemas.microsoft.com/office/drawing/2014/main" id="{71B7397D-70B6-4F80-BBB4-3623C5A6BF93}"/>
            </a:ext>
          </a:extLst>
        </xdr:cNvPr>
        <xdr:cNvSpPr/>
      </xdr:nvSpPr>
      <xdr:spPr>
        <a:xfrm>
          <a:off x="49530000"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45</xdr:col>
      <xdr:colOff>0</xdr:colOff>
      <xdr:row>24</xdr:row>
      <xdr:rowOff>0</xdr:rowOff>
    </xdr:from>
    <xdr:to>
      <xdr:col>47</xdr:col>
      <xdr:colOff>2351484</xdr:colOff>
      <xdr:row>25</xdr:row>
      <xdr:rowOff>35718</xdr:rowOff>
    </xdr:to>
    <xdr:sp macro="[0]!RAG_school_11" textlink="">
      <xdr:nvSpPr>
        <xdr:cNvPr id="51" name="Rectangle 50">
          <a:extLst>
            <a:ext uri="{FF2B5EF4-FFF2-40B4-BE49-F238E27FC236}">
              <a16:creationId xmlns:a16="http://schemas.microsoft.com/office/drawing/2014/main" id="{8EFC371E-EDC2-4A34-9F57-1919715FE00E}"/>
            </a:ext>
          </a:extLst>
        </xdr:cNvPr>
        <xdr:cNvSpPr/>
      </xdr:nvSpPr>
      <xdr:spPr>
        <a:xfrm>
          <a:off x="54119860"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49</xdr:col>
      <xdr:colOff>0</xdr:colOff>
      <xdr:row>24</xdr:row>
      <xdr:rowOff>0</xdr:rowOff>
    </xdr:from>
    <xdr:to>
      <xdr:col>51</xdr:col>
      <xdr:colOff>2351483</xdr:colOff>
      <xdr:row>25</xdr:row>
      <xdr:rowOff>35718</xdr:rowOff>
    </xdr:to>
    <xdr:sp macro="[0]!RAG_school_12" textlink="">
      <xdr:nvSpPr>
        <xdr:cNvPr id="52" name="Rectangle 51">
          <a:extLst>
            <a:ext uri="{FF2B5EF4-FFF2-40B4-BE49-F238E27FC236}">
              <a16:creationId xmlns:a16="http://schemas.microsoft.com/office/drawing/2014/main" id="{25BFD6F3-8909-4259-881B-DD9533E8A3CA}"/>
            </a:ext>
          </a:extLst>
        </xdr:cNvPr>
        <xdr:cNvSpPr/>
      </xdr:nvSpPr>
      <xdr:spPr>
        <a:xfrm>
          <a:off x="58709719"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53</xdr:col>
      <xdr:colOff>0</xdr:colOff>
      <xdr:row>24</xdr:row>
      <xdr:rowOff>0</xdr:rowOff>
    </xdr:from>
    <xdr:to>
      <xdr:col>55</xdr:col>
      <xdr:colOff>2351484</xdr:colOff>
      <xdr:row>25</xdr:row>
      <xdr:rowOff>35718</xdr:rowOff>
    </xdr:to>
    <xdr:sp macro="[0]!RAG_school_13" textlink="">
      <xdr:nvSpPr>
        <xdr:cNvPr id="53" name="Rectangle 52">
          <a:extLst>
            <a:ext uri="{FF2B5EF4-FFF2-40B4-BE49-F238E27FC236}">
              <a16:creationId xmlns:a16="http://schemas.microsoft.com/office/drawing/2014/main" id="{427C10EF-278B-4705-B408-5D81B1AC25CD}"/>
            </a:ext>
          </a:extLst>
        </xdr:cNvPr>
        <xdr:cNvSpPr/>
      </xdr:nvSpPr>
      <xdr:spPr>
        <a:xfrm>
          <a:off x="63299579"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57</xdr:col>
      <xdr:colOff>0</xdr:colOff>
      <xdr:row>24</xdr:row>
      <xdr:rowOff>0</xdr:rowOff>
    </xdr:from>
    <xdr:to>
      <xdr:col>59</xdr:col>
      <xdr:colOff>2351483</xdr:colOff>
      <xdr:row>25</xdr:row>
      <xdr:rowOff>35718</xdr:rowOff>
    </xdr:to>
    <xdr:sp macro="[0]!RAG_school_14" textlink="">
      <xdr:nvSpPr>
        <xdr:cNvPr id="54" name="Rectangle 53">
          <a:extLst>
            <a:ext uri="{FF2B5EF4-FFF2-40B4-BE49-F238E27FC236}">
              <a16:creationId xmlns:a16="http://schemas.microsoft.com/office/drawing/2014/main" id="{789D5F3E-E412-42C6-A0E9-1EE8217449E7}"/>
            </a:ext>
          </a:extLst>
        </xdr:cNvPr>
        <xdr:cNvSpPr/>
      </xdr:nvSpPr>
      <xdr:spPr>
        <a:xfrm>
          <a:off x="67889438"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61</xdr:col>
      <xdr:colOff>0</xdr:colOff>
      <xdr:row>24</xdr:row>
      <xdr:rowOff>0</xdr:rowOff>
    </xdr:from>
    <xdr:to>
      <xdr:col>63</xdr:col>
      <xdr:colOff>2351485</xdr:colOff>
      <xdr:row>25</xdr:row>
      <xdr:rowOff>35718</xdr:rowOff>
    </xdr:to>
    <xdr:sp macro="[0]!RAG_school_15" textlink="">
      <xdr:nvSpPr>
        <xdr:cNvPr id="55" name="Rectangle 54">
          <a:extLst>
            <a:ext uri="{FF2B5EF4-FFF2-40B4-BE49-F238E27FC236}">
              <a16:creationId xmlns:a16="http://schemas.microsoft.com/office/drawing/2014/main" id="{6575BB20-C890-4813-A220-AB1548CA3157}"/>
            </a:ext>
          </a:extLst>
        </xdr:cNvPr>
        <xdr:cNvSpPr/>
      </xdr:nvSpPr>
      <xdr:spPr>
        <a:xfrm>
          <a:off x="72479298"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65</xdr:col>
      <xdr:colOff>0</xdr:colOff>
      <xdr:row>24</xdr:row>
      <xdr:rowOff>0</xdr:rowOff>
    </xdr:from>
    <xdr:to>
      <xdr:col>67</xdr:col>
      <xdr:colOff>2351483</xdr:colOff>
      <xdr:row>25</xdr:row>
      <xdr:rowOff>35718</xdr:rowOff>
    </xdr:to>
    <xdr:sp macro="[0]!RAG_school_16" textlink="">
      <xdr:nvSpPr>
        <xdr:cNvPr id="56" name="Rectangle 55">
          <a:extLst>
            <a:ext uri="{FF2B5EF4-FFF2-40B4-BE49-F238E27FC236}">
              <a16:creationId xmlns:a16="http://schemas.microsoft.com/office/drawing/2014/main" id="{7AB1CA53-E2AF-4630-A6FE-3F8E966630C2}"/>
            </a:ext>
          </a:extLst>
        </xdr:cNvPr>
        <xdr:cNvSpPr/>
      </xdr:nvSpPr>
      <xdr:spPr>
        <a:xfrm>
          <a:off x="77069156"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69</xdr:col>
      <xdr:colOff>0</xdr:colOff>
      <xdr:row>24</xdr:row>
      <xdr:rowOff>0</xdr:rowOff>
    </xdr:from>
    <xdr:to>
      <xdr:col>71</xdr:col>
      <xdr:colOff>2351484</xdr:colOff>
      <xdr:row>25</xdr:row>
      <xdr:rowOff>35718</xdr:rowOff>
    </xdr:to>
    <xdr:sp macro="[0]!RAG_school_17" textlink="">
      <xdr:nvSpPr>
        <xdr:cNvPr id="57" name="Rectangle 56">
          <a:extLst>
            <a:ext uri="{FF2B5EF4-FFF2-40B4-BE49-F238E27FC236}">
              <a16:creationId xmlns:a16="http://schemas.microsoft.com/office/drawing/2014/main" id="{4BDD1AB0-3BB2-4547-B315-FEEB160A55D6}"/>
            </a:ext>
          </a:extLst>
        </xdr:cNvPr>
        <xdr:cNvSpPr/>
      </xdr:nvSpPr>
      <xdr:spPr>
        <a:xfrm>
          <a:off x="81659016"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73</xdr:col>
      <xdr:colOff>0</xdr:colOff>
      <xdr:row>24</xdr:row>
      <xdr:rowOff>0</xdr:rowOff>
    </xdr:from>
    <xdr:to>
      <xdr:col>75</xdr:col>
      <xdr:colOff>2351483</xdr:colOff>
      <xdr:row>25</xdr:row>
      <xdr:rowOff>35718</xdr:rowOff>
    </xdr:to>
    <xdr:sp macro="[0]!RAG_school_18" textlink="">
      <xdr:nvSpPr>
        <xdr:cNvPr id="58" name="Rectangle 57">
          <a:extLst>
            <a:ext uri="{FF2B5EF4-FFF2-40B4-BE49-F238E27FC236}">
              <a16:creationId xmlns:a16="http://schemas.microsoft.com/office/drawing/2014/main" id="{3698F839-FB28-4230-8EA3-E5EFA7A64D80}"/>
            </a:ext>
          </a:extLst>
        </xdr:cNvPr>
        <xdr:cNvSpPr/>
      </xdr:nvSpPr>
      <xdr:spPr>
        <a:xfrm>
          <a:off x="86248875"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77</xdr:col>
      <xdr:colOff>0</xdr:colOff>
      <xdr:row>24</xdr:row>
      <xdr:rowOff>0</xdr:rowOff>
    </xdr:from>
    <xdr:to>
      <xdr:col>79</xdr:col>
      <xdr:colOff>2351484</xdr:colOff>
      <xdr:row>25</xdr:row>
      <xdr:rowOff>35718</xdr:rowOff>
    </xdr:to>
    <xdr:sp macro="[0]!RAG_school_19" textlink="">
      <xdr:nvSpPr>
        <xdr:cNvPr id="59" name="Rectangle 58">
          <a:extLst>
            <a:ext uri="{FF2B5EF4-FFF2-40B4-BE49-F238E27FC236}">
              <a16:creationId xmlns:a16="http://schemas.microsoft.com/office/drawing/2014/main" id="{3FBBC6F3-208B-4383-BB30-6E5D00875747}"/>
            </a:ext>
          </a:extLst>
        </xdr:cNvPr>
        <xdr:cNvSpPr/>
      </xdr:nvSpPr>
      <xdr:spPr>
        <a:xfrm>
          <a:off x="90838735"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81</xdr:col>
      <xdr:colOff>0</xdr:colOff>
      <xdr:row>24</xdr:row>
      <xdr:rowOff>0</xdr:rowOff>
    </xdr:from>
    <xdr:to>
      <xdr:col>83</xdr:col>
      <xdr:colOff>2351483</xdr:colOff>
      <xdr:row>25</xdr:row>
      <xdr:rowOff>35718</xdr:rowOff>
    </xdr:to>
    <xdr:sp macro="[0]!RAG_school_20" textlink="">
      <xdr:nvSpPr>
        <xdr:cNvPr id="60" name="Rectangle 59">
          <a:extLst>
            <a:ext uri="{FF2B5EF4-FFF2-40B4-BE49-F238E27FC236}">
              <a16:creationId xmlns:a16="http://schemas.microsoft.com/office/drawing/2014/main" id="{F32300EE-C1E4-4D87-8B28-84DD33594C5E}"/>
            </a:ext>
          </a:extLst>
        </xdr:cNvPr>
        <xdr:cNvSpPr/>
      </xdr:nvSpPr>
      <xdr:spPr>
        <a:xfrm>
          <a:off x="95428594" y="4947048"/>
          <a:ext cx="3750468" cy="2202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chemeClr val="accent1">
                  <a:lumMod val="75000"/>
                </a:schemeClr>
              </a:solidFill>
              <a:latin typeface="Arial" panose="020B0604020202020204" pitchFamily="34" charset="0"/>
              <a:cs typeface="Arial" panose="020B0604020202020204" pitchFamily="34" charset="0"/>
            </a:rPr>
            <a:t> </a:t>
          </a:r>
          <a:r>
            <a:rPr lang="en-GB" sz="1200" u="none" baseline="0">
              <a:solidFill>
                <a:sysClr val="windowText" lastClr="000000"/>
              </a:solidFill>
              <a:latin typeface="Arial" panose="020B0604020202020204" pitchFamily="34" charset="0"/>
              <a:cs typeface="Arial" panose="020B0604020202020204" pitchFamily="34" charset="0"/>
            </a:rPr>
            <a:t>to see the RAG rating data for this school</a:t>
          </a:r>
          <a:endParaRPr lang="en-GB" sz="1200" u="sng">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6</xdr:col>
      <xdr:colOff>0</xdr:colOff>
      <xdr:row>6</xdr:row>
      <xdr:rowOff>0</xdr:rowOff>
    </xdr:to>
    <xdr:sp macro="[0]!Add_school_2" textlink="">
      <xdr:nvSpPr>
        <xdr:cNvPr id="2" name="Rectangle 1">
          <a:extLst>
            <a:ext uri="{FF2B5EF4-FFF2-40B4-BE49-F238E27FC236}">
              <a16:creationId xmlns:a16="http://schemas.microsoft.com/office/drawing/2014/main" id="{8A4873BF-41D0-434F-9A1E-59C8903CF3E7}"/>
            </a:ext>
          </a:extLst>
        </xdr:cNvPr>
        <xdr:cNvSpPr/>
      </xdr:nvSpPr>
      <xdr:spPr>
        <a:xfrm>
          <a:off x="6774656"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7</xdr:col>
      <xdr:colOff>0</xdr:colOff>
      <xdr:row>4</xdr:row>
      <xdr:rowOff>0</xdr:rowOff>
    </xdr:from>
    <xdr:to>
      <xdr:col>8</xdr:col>
      <xdr:colOff>2</xdr:colOff>
      <xdr:row>6</xdr:row>
      <xdr:rowOff>0</xdr:rowOff>
    </xdr:to>
    <xdr:sp macro="[0]!Add_school_3" textlink="">
      <xdr:nvSpPr>
        <xdr:cNvPr id="3" name="Rectangle 2">
          <a:extLst>
            <a:ext uri="{FF2B5EF4-FFF2-40B4-BE49-F238E27FC236}">
              <a16:creationId xmlns:a16="http://schemas.microsoft.com/office/drawing/2014/main" id="{50D1E5D8-652F-4680-8D50-62F764D10DA4}"/>
            </a:ext>
          </a:extLst>
        </xdr:cNvPr>
        <xdr:cNvSpPr/>
      </xdr:nvSpPr>
      <xdr:spPr>
        <a:xfrm>
          <a:off x="8614173"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9</xdr:col>
      <xdr:colOff>0</xdr:colOff>
      <xdr:row>4</xdr:row>
      <xdr:rowOff>0</xdr:rowOff>
    </xdr:from>
    <xdr:to>
      <xdr:col>10</xdr:col>
      <xdr:colOff>0</xdr:colOff>
      <xdr:row>6</xdr:row>
      <xdr:rowOff>0</xdr:rowOff>
    </xdr:to>
    <xdr:sp macro="[0]!Add_school_4" textlink="">
      <xdr:nvSpPr>
        <xdr:cNvPr id="4" name="Rectangle 3">
          <a:extLst>
            <a:ext uri="{FF2B5EF4-FFF2-40B4-BE49-F238E27FC236}">
              <a16:creationId xmlns:a16="http://schemas.microsoft.com/office/drawing/2014/main" id="{7EC6C74A-5250-42BD-ABC9-2A6C8DC2435C}"/>
            </a:ext>
          </a:extLst>
        </xdr:cNvPr>
        <xdr:cNvSpPr/>
      </xdr:nvSpPr>
      <xdr:spPr>
        <a:xfrm>
          <a:off x="10453688"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11</xdr:col>
      <xdr:colOff>0</xdr:colOff>
      <xdr:row>4</xdr:row>
      <xdr:rowOff>0</xdr:rowOff>
    </xdr:from>
    <xdr:to>
      <xdr:col>12</xdr:col>
      <xdr:colOff>1</xdr:colOff>
      <xdr:row>6</xdr:row>
      <xdr:rowOff>0</xdr:rowOff>
    </xdr:to>
    <xdr:sp macro="[0]!Add_school_5" textlink="">
      <xdr:nvSpPr>
        <xdr:cNvPr id="5" name="Rectangle 4">
          <a:extLst>
            <a:ext uri="{FF2B5EF4-FFF2-40B4-BE49-F238E27FC236}">
              <a16:creationId xmlns:a16="http://schemas.microsoft.com/office/drawing/2014/main" id="{63AA5213-4FA2-4AF7-B9B0-314136347FC1}"/>
            </a:ext>
          </a:extLst>
        </xdr:cNvPr>
        <xdr:cNvSpPr/>
      </xdr:nvSpPr>
      <xdr:spPr>
        <a:xfrm>
          <a:off x="12293204"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13</xdr:col>
      <xdr:colOff>0</xdr:colOff>
      <xdr:row>4</xdr:row>
      <xdr:rowOff>0</xdr:rowOff>
    </xdr:from>
    <xdr:to>
      <xdr:col>14</xdr:col>
      <xdr:colOff>0</xdr:colOff>
      <xdr:row>6</xdr:row>
      <xdr:rowOff>0</xdr:rowOff>
    </xdr:to>
    <xdr:sp macro="[0]!Add_school_6" textlink="">
      <xdr:nvSpPr>
        <xdr:cNvPr id="6" name="Rectangle 5">
          <a:extLst>
            <a:ext uri="{FF2B5EF4-FFF2-40B4-BE49-F238E27FC236}">
              <a16:creationId xmlns:a16="http://schemas.microsoft.com/office/drawing/2014/main" id="{8D9FB47B-E189-4A3B-9113-944D744E5EFD}"/>
            </a:ext>
          </a:extLst>
        </xdr:cNvPr>
        <xdr:cNvSpPr/>
      </xdr:nvSpPr>
      <xdr:spPr>
        <a:xfrm>
          <a:off x="14132719"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15</xdr:col>
      <xdr:colOff>0</xdr:colOff>
      <xdr:row>4</xdr:row>
      <xdr:rowOff>0</xdr:rowOff>
    </xdr:from>
    <xdr:to>
      <xdr:col>16</xdr:col>
      <xdr:colOff>1</xdr:colOff>
      <xdr:row>6</xdr:row>
      <xdr:rowOff>0</xdr:rowOff>
    </xdr:to>
    <xdr:sp macro="[0]!Add_school_7" textlink="">
      <xdr:nvSpPr>
        <xdr:cNvPr id="7" name="Rectangle 6">
          <a:extLst>
            <a:ext uri="{FF2B5EF4-FFF2-40B4-BE49-F238E27FC236}">
              <a16:creationId xmlns:a16="http://schemas.microsoft.com/office/drawing/2014/main" id="{9248DFFC-BEC1-44E0-B99F-3DF0574DECEB}"/>
            </a:ext>
          </a:extLst>
        </xdr:cNvPr>
        <xdr:cNvSpPr/>
      </xdr:nvSpPr>
      <xdr:spPr>
        <a:xfrm>
          <a:off x="15972235"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17</xdr:col>
      <xdr:colOff>0</xdr:colOff>
      <xdr:row>4</xdr:row>
      <xdr:rowOff>0</xdr:rowOff>
    </xdr:from>
    <xdr:to>
      <xdr:col>18</xdr:col>
      <xdr:colOff>0</xdr:colOff>
      <xdr:row>6</xdr:row>
      <xdr:rowOff>0</xdr:rowOff>
    </xdr:to>
    <xdr:sp macro="[0]!Add_school_8" textlink="">
      <xdr:nvSpPr>
        <xdr:cNvPr id="8" name="Rectangle 7">
          <a:extLst>
            <a:ext uri="{FF2B5EF4-FFF2-40B4-BE49-F238E27FC236}">
              <a16:creationId xmlns:a16="http://schemas.microsoft.com/office/drawing/2014/main" id="{955DA712-5D64-4D06-8963-61EFC73D3D13}"/>
            </a:ext>
          </a:extLst>
        </xdr:cNvPr>
        <xdr:cNvSpPr/>
      </xdr:nvSpPr>
      <xdr:spPr>
        <a:xfrm>
          <a:off x="17811750"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19</xdr:col>
      <xdr:colOff>0</xdr:colOff>
      <xdr:row>4</xdr:row>
      <xdr:rowOff>0</xdr:rowOff>
    </xdr:from>
    <xdr:to>
      <xdr:col>20</xdr:col>
      <xdr:colOff>1</xdr:colOff>
      <xdr:row>6</xdr:row>
      <xdr:rowOff>0</xdr:rowOff>
    </xdr:to>
    <xdr:sp macro="[0]!Add_school_9" textlink="">
      <xdr:nvSpPr>
        <xdr:cNvPr id="9" name="Rectangle 8">
          <a:extLst>
            <a:ext uri="{FF2B5EF4-FFF2-40B4-BE49-F238E27FC236}">
              <a16:creationId xmlns:a16="http://schemas.microsoft.com/office/drawing/2014/main" id="{5F79022A-1ECC-49FC-BFFB-936262514A17}"/>
            </a:ext>
          </a:extLst>
        </xdr:cNvPr>
        <xdr:cNvSpPr/>
      </xdr:nvSpPr>
      <xdr:spPr>
        <a:xfrm>
          <a:off x="19651266"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21</xdr:col>
      <xdr:colOff>0</xdr:colOff>
      <xdr:row>4</xdr:row>
      <xdr:rowOff>0</xdr:rowOff>
    </xdr:from>
    <xdr:to>
      <xdr:col>22</xdr:col>
      <xdr:colOff>0</xdr:colOff>
      <xdr:row>6</xdr:row>
      <xdr:rowOff>0</xdr:rowOff>
    </xdr:to>
    <xdr:sp macro="[0]!Add_school_10" textlink="">
      <xdr:nvSpPr>
        <xdr:cNvPr id="10" name="Rectangle 9">
          <a:extLst>
            <a:ext uri="{FF2B5EF4-FFF2-40B4-BE49-F238E27FC236}">
              <a16:creationId xmlns:a16="http://schemas.microsoft.com/office/drawing/2014/main" id="{74D3F3E5-0342-42EF-AFD0-09EBC71FD28D}"/>
            </a:ext>
          </a:extLst>
        </xdr:cNvPr>
        <xdr:cNvSpPr/>
      </xdr:nvSpPr>
      <xdr:spPr>
        <a:xfrm>
          <a:off x="21490781"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23</xdr:col>
      <xdr:colOff>0</xdr:colOff>
      <xdr:row>4</xdr:row>
      <xdr:rowOff>0</xdr:rowOff>
    </xdr:from>
    <xdr:to>
      <xdr:col>24</xdr:col>
      <xdr:colOff>2</xdr:colOff>
      <xdr:row>6</xdr:row>
      <xdr:rowOff>0</xdr:rowOff>
    </xdr:to>
    <xdr:sp macro="[0]!Add_school_11" textlink="">
      <xdr:nvSpPr>
        <xdr:cNvPr id="11" name="Rectangle 10">
          <a:extLst>
            <a:ext uri="{FF2B5EF4-FFF2-40B4-BE49-F238E27FC236}">
              <a16:creationId xmlns:a16="http://schemas.microsoft.com/office/drawing/2014/main" id="{221D783B-DFF1-417D-9457-90CE076B3B69}"/>
            </a:ext>
          </a:extLst>
        </xdr:cNvPr>
        <xdr:cNvSpPr/>
      </xdr:nvSpPr>
      <xdr:spPr>
        <a:xfrm>
          <a:off x="23330298"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25</xdr:col>
      <xdr:colOff>0</xdr:colOff>
      <xdr:row>4</xdr:row>
      <xdr:rowOff>0</xdr:rowOff>
    </xdr:from>
    <xdr:to>
      <xdr:col>26</xdr:col>
      <xdr:colOff>0</xdr:colOff>
      <xdr:row>6</xdr:row>
      <xdr:rowOff>0</xdr:rowOff>
    </xdr:to>
    <xdr:sp macro="[0]!Add_school_12" textlink="">
      <xdr:nvSpPr>
        <xdr:cNvPr id="12" name="Rectangle 11">
          <a:extLst>
            <a:ext uri="{FF2B5EF4-FFF2-40B4-BE49-F238E27FC236}">
              <a16:creationId xmlns:a16="http://schemas.microsoft.com/office/drawing/2014/main" id="{9D72526E-DD1C-45F4-9AAC-B67B9F84B0E1}"/>
            </a:ext>
          </a:extLst>
        </xdr:cNvPr>
        <xdr:cNvSpPr/>
      </xdr:nvSpPr>
      <xdr:spPr>
        <a:xfrm>
          <a:off x="25169813"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27</xdr:col>
      <xdr:colOff>0</xdr:colOff>
      <xdr:row>4</xdr:row>
      <xdr:rowOff>0</xdr:rowOff>
    </xdr:from>
    <xdr:to>
      <xdr:col>28</xdr:col>
      <xdr:colOff>1</xdr:colOff>
      <xdr:row>6</xdr:row>
      <xdr:rowOff>0</xdr:rowOff>
    </xdr:to>
    <xdr:sp macro="[0]!Add_school_13" textlink="">
      <xdr:nvSpPr>
        <xdr:cNvPr id="13" name="Rectangle 12">
          <a:extLst>
            <a:ext uri="{FF2B5EF4-FFF2-40B4-BE49-F238E27FC236}">
              <a16:creationId xmlns:a16="http://schemas.microsoft.com/office/drawing/2014/main" id="{F986F562-EAF8-408E-B106-6E3ABE19960D}"/>
            </a:ext>
          </a:extLst>
        </xdr:cNvPr>
        <xdr:cNvSpPr/>
      </xdr:nvSpPr>
      <xdr:spPr>
        <a:xfrm>
          <a:off x="27009329"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29</xdr:col>
      <xdr:colOff>0</xdr:colOff>
      <xdr:row>4</xdr:row>
      <xdr:rowOff>0</xdr:rowOff>
    </xdr:from>
    <xdr:to>
      <xdr:col>30</xdr:col>
      <xdr:colOff>0</xdr:colOff>
      <xdr:row>6</xdr:row>
      <xdr:rowOff>0</xdr:rowOff>
    </xdr:to>
    <xdr:sp macro="[0]!Add_school_14" textlink="">
      <xdr:nvSpPr>
        <xdr:cNvPr id="15" name="Rectangle 14">
          <a:extLst>
            <a:ext uri="{FF2B5EF4-FFF2-40B4-BE49-F238E27FC236}">
              <a16:creationId xmlns:a16="http://schemas.microsoft.com/office/drawing/2014/main" id="{5718787C-2BC8-4B13-B2A7-25921412F18D}"/>
            </a:ext>
          </a:extLst>
        </xdr:cNvPr>
        <xdr:cNvSpPr/>
      </xdr:nvSpPr>
      <xdr:spPr>
        <a:xfrm>
          <a:off x="28848844"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31</xdr:col>
      <xdr:colOff>0</xdr:colOff>
      <xdr:row>4</xdr:row>
      <xdr:rowOff>0</xdr:rowOff>
    </xdr:from>
    <xdr:to>
      <xdr:col>32</xdr:col>
      <xdr:colOff>1</xdr:colOff>
      <xdr:row>6</xdr:row>
      <xdr:rowOff>0</xdr:rowOff>
    </xdr:to>
    <xdr:sp macro="[0]!Add_school_15" textlink="">
      <xdr:nvSpPr>
        <xdr:cNvPr id="16" name="Rectangle 15">
          <a:extLst>
            <a:ext uri="{FF2B5EF4-FFF2-40B4-BE49-F238E27FC236}">
              <a16:creationId xmlns:a16="http://schemas.microsoft.com/office/drawing/2014/main" id="{CEBC75CC-8EF4-482F-B35B-26D210BAF230}"/>
            </a:ext>
          </a:extLst>
        </xdr:cNvPr>
        <xdr:cNvSpPr/>
      </xdr:nvSpPr>
      <xdr:spPr>
        <a:xfrm>
          <a:off x="30688360"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33</xdr:col>
      <xdr:colOff>0</xdr:colOff>
      <xdr:row>4</xdr:row>
      <xdr:rowOff>0</xdr:rowOff>
    </xdr:from>
    <xdr:to>
      <xdr:col>34</xdr:col>
      <xdr:colOff>0</xdr:colOff>
      <xdr:row>6</xdr:row>
      <xdr:rowOff>0</xdr:rowOff>
    </xdr:to>
    <xdr:sp macro="[0]!Add_school_16" textlink="">
      <xdr:nvSpPr>
        <xdr:cNvPr id="17" name="Rectangle 16">
          <a:extLst>
            <a:ext uri="{FF2B5EF4-FFF2-40B4-BE49-F238E27FC236}">
              <a16:creationId xmlns:a16="http://schemas.microsoft.com/office/drawing/2014/main" id="{19F5C9AF-388A-407B-B487-F3076FBF4C17}"/>
            </a:ext>
          </a:extLst>
        </xdr:cNvPr>
        <xdr:cNvSpPr/>
      </xdr:nvSpPr>
      <xdr:spPr>
        <a:xfrm>
          <a:off x="32527875"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35</xdr:col>
      <xdr:colOff>0</xdr:colOff>
      <xdr:row>4</xdr:row>
      <xdr:rowOff>0</xdr:rowOff>
    </xdr:from>
    <xdr:to>
      <xdr:col>36</xdr:col>
      <xdr:colOff>1</xdr:colOff>
      <xdr:row>6</xdr:row>
      <xdr:rowOff>0</xdr:rowOff>
    </xdr:to>
    <xdr:sp macro="[0]!Add_school_17" textlink="">
      <xdr:nvSpPr>
        <xdr:cNvPr id="18" name="Rectangle 17">
          <a:extLst>
            <a:ext uri="{FF2B5EF4-FFF2-40B4-BE49-F238E27FC236}">
              <a16:creationId xmlns:a16="http://schemas.microsoft.com/office/drawing/2014/main" id="{1E0A8DD5-CA29-47F1-95ED-D36FC5D65A3E}"/>
            </a:ext>
          </a:extLst>
        </xdr:cNvPr>
        <xdr:cNvSpPr/>
      </xdr:nvSpPr>
      <xdr:spPr>
        <a:xfrm>
          <a:off x="34367391"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37</xdr:col>
      <xdr:colOff>0</xdr:colOff>
      <xdr:row>4</xdr:row>
      <xdr:rowOff>0</xdr:rowOff>
    </xdr:from>
    <xdr:to>
      <xdr:col>38</xdr:col>
      <xdr:colOff>0</xdr:colOff>
      <xdr:row>6</xdr:row>
      <xdr:rowOff>0</xdr:rowOff>
    </xdr:to>
    <xdr:sp macro="[0]!Add_school_18" textlink="">
      <xdr:nvSpPr>
        <xdr:cNvPr id="19" name="Rectangle 18">
          <a:extLst>
            <a:ext uri="{FF2B5EF4-FFF2-40B4-BE49-F238E27FC236}">
              <a16:creationId xmlns:a16="http://schemas.microsoft.com/office/drawing/2014/main" id="{F173F1D9-6683-4051-BBB8-76E22662788E}"/>
            </a:ext>
          </a:extLst>
        </xdr:cNvPr>
        <xdr:cNvSpPr/>
      </xdr:nvSpPr>
      <xdr:spPr>
        <a:xfrm>
          <a:off x="36206906"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39</xdr:col>
      <xdr:colOff>0</xdr:colOff>
      <xdr:row>4</xdr:row>
      <xdr:rowOff>0</xdr:rowOff>
    </xdr:from>
    <xdr:to>
      <xdr:col>40</xdr:col>
      <xdr:colOff>2</xdr:colOff>
      <xdr:row>6</xdr:row>
      <xdr:rowOff>0</xdr:rowOff>
    </xdr:to>
    <xdr:sp macro="[0]!Add_school_19" textlink="">
      <xdr:nvSpPr>
        <xdr:cNvPr id="20" name="Rectangle 19">
          <a:extLst>
            <a:ext uri="{FF2B5EF4-FFF2-40B4-BE49-F238E27FC236}">
              <a16:creationId xmlns:a16="http://schemas.microsoft.com/office/drawing/2014/main" id="{381F92E3-6253-4EEE-A69B-7183A17AF48B}"/>
            </a:ext>
          </a:extLst>
        </xdr:cNvPr>
        <xdr:cNvSpPr/>
      </xdr:nvSpPr>
      <xdr:spPr>
        <a:xfrm>
          <a:off x="38046423"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twoCellAnchor>
    <xdr:from>
      <xdr:col>41</xdr:col>
      <xdr:colOff>0</xdr:colOff>
      <xdr:row>4</xdr:row>
      <xdr:rowOff>0</xdr:rowOff>
    </xdr:from>
    <xdr:to>
      <xdr:col>42</xdr:col>
      <xdr:colOff>0</xdr:colOff>
      <xdr:row>6</xdr:row>
      <xdr:rowOff>0</xdr:rowOff>
    </xdr:to>
    <xdr:sp macro="[0]!Add_school_20" textlink="">
      <xdr:nvSpPr>
        <xdr:cNvPr id="21" name="Rectangle 20">
          <a:extLst>
            <a:ext uri="{FF2B5EF4-FFF2-40B4-BE49-F238E27FC236}">
              <a16:creationId xmlns:a16="http://schemas.microsoft.com/office/drawing/2014/main" id="{A3BF2E05-7D17-4EB5-BF57-C2107B9ED99C}"/>
            </a:ext>
          </a:extLst>
        </xdr:cNvPr>
        <xdr:cNvSpPr/>
      </xdr:nvSpPr>
      <xdr:spPr>
        <a:xfrm>
          <a:off x="39885938" y="892969"/>
          <a:ext cx="1541860" cy="381000"/>
        </a:xfrm>
        <a:prstGeom prst="rect">
          <a:avLst/>
        </a:prstGeom>
        <a:solidFill>
          <a:schemeClr val="bg1"/>
        </a:solidFill>
        <a:ln w="19050">
          <a:solidFill>
            <a:srgbClr val="104F7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n-GB" sz="1200" b="1">
              <a:solidFill>
                <a:srgbClr val="104F75"/>
              </a:solidFill>
              <a:latin typeface="Arial" panose="020B0604020202020204" pitchFamily="34" charset="0"/>
              <a:cs typeface="Arial" panose="020B0604020202020204" pitchFamily="34" charset="0"/>
            </a:rPr>
            <a:t>Click here to add </a:t>
          </a:r>
        </a:p>
        <a:p>
          <a:pPr algn="ctr"/>
          <a:r>
            <a:rPr lang="en-GB" sz="1200" b="1">
              <a:solidFill>
                <a:srgbClr val="104F75"/>
              </a:solidFill>
              <a:latin typeface="Arial" panose="020B0604020202020204" pitchFamily="34" charset="0"/>
              <a:cs typeface="Arial" panose="020B0604020202020204" pitchFamily="34" charset="0"/>
            </a:rPr>
            <a:t>another school </a:t>
          </a:r>
          <a:r>
            <a:rPr lang="en-GB" sz="1200" b="1">
              <a:solidFill>
                <a:srgbClr val="104F75"/>
              </a:solidFill>
              <a:latin typeface="Arial" panose="020B0604020202020204" pitchFamily="34" charset="0"/>
              <a:cs typeface="Arial" panose="020B0604020202020204" pitchFamily="34" charset="0"/>
              <a:sym typeface="Wingdings 3" panose="05040102010807070707" pitchFamily="18" charset="2"/>
            </a:rPr>
            <a:t></a:t>
          </a:r>
          <a:endParaRPr lang="en-GB" sz="1200" b="1">
            <a:solidFill>
              <a:srgbClr val="104F75"/>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inyurl.com/yxuq4y7y" TargetMode="External"/><Relationship Id="rId13" Type="http://schemas.openxmlformats.org/officeDocument/2006/relationships/hyperlink" Target="https://tinyurl.com/y5g4obmj" TargetMode="External"/><Relationship Id="rId18" Type="http://schemas.openxmlformats.org/officeDocument/2006/relationships/hyperlink" Target="https://tinyurl.com/ydyernhc" TargetMode="External"/><Relationship Id="rId26" Type="http://schemas.openxmlformats.org/officeDocument/2006/relationships/hyperlink" Target="https://tinyurl.com/y9qnxjyt" TargetMode="External"/><Relationship Id="rId39" Type="http://schemas.openxmlformats.org/officeDocument/2006/relationships/hyperlink" Target="https://tinyurl.com/y7be5hz3" TargetMode="External"/><Relationship Id="rId3" Type="http://schemas.openxmlformats.org/officeDocument/2006/relationships/hyperlink" Target="https://tinyurl.com/y682muwy" TargetMode="External"/><Relationship Id="rId21" Type="http://schemas.openxmlformats.org/officeDocument/2006/relationships/hyperlink" Target="https://tinyurl.com/yd8qpdnv" TargetMode="External"/><Relationship Id="rId34" Type="http://schemas.openxmlformats.org/officeDocument/2006/relationships/hyperlink" Target="https://tinyurl.com/ybkkgzh5" TargetMode="External"/><Relationship Id="rId7" Type="http://schemas.openxmlformats.org/officeDocument/2006/relationships/hyperlink" Target="https://tinyurl.com/yxuq4y7y" TargetMode="External"/><Relationship Id="rId12" Type="http://schemas.openxmlformats.org/officeDocument/2006/relationships/hyperlink" Target="https://tinyurl.com/y5rd365a" TargetMode="External"/><Relationship Id="rId17" Type="http://schemas.openxmlformats.org/officeDocument/2006/relationships/hyperlink" Target="https://tinyurl.com/y6yb3bx5" TargetMode="External"/><Relationship Id="rId25" Type="http://schemas.openxmlformats.org/officeDocument/2006/relationships/hyperlink" Target="https://tinyurl.com/y8yunedz" TargetMode="External"/><Relationship Id="rId33" Type="http://schemas.openxmlformats.org/officeDocument/2006/relationships/hyperlink" Target="https://tinyurl.com/ya9nahmg" TargetMode="External"/><Relationship Id="rId38" Type="http://schemas.openxmlformats.org/officeDocument/2006/relationships/hyperlink" Target="https://tinyurl.com/y23q888e" TargetMode="External"/><Relationship Id="rId2" Type="http://schemas.openxmlformats.org/officeDocument/2006/relationships/hyperlink" Target="https://tinyurl.com/yxm95m65" TargetMode="External"/><Relationship Id="rId16" Type="http://schemas.openxmlformats.org/officeDocument/2006/relationships/hyperlink" Target="https://tinyurl.com/y462sxwt" TargetMode="External"/><Relationship Id="rId20" Type="http://schemas.openxmlformats.org/officeDocument/2006/relationships/hyperlink" Target="https://tinyurl.com/yb2wgxvf" TargetMode="External"/><Relationship Id="rId29" Type="http://schemas.openxmlformats.org/officeDocument/2006/relationships/hyperlink" Target="https://tinyurl.com/yc8bdsw3" TargetMode="External"/><Relationship Id="rId1" Type="http://schemas.openxmlformats.org/officeDocument/2006/relationships/hyperlink" Target="https://www.gov.uk/government/publications/school-resource-management-self-assessment-tool/checklist-support-notes" TargetMode="External"/><Relationship Id="rId6" Type="http://schemas.openxmlformats.org/officeDocument/2006/relationships/hyperlink" Target="https://tinyurl.com/y3pu8vkg" TargetMode="External"/><Relationship Id="rId11" Type="http://schemas.openxmlformats.org/officeDocument/2006/relationships/hyperlink" Target="https://tinyurl.com/y3uz7pqo" TargetMode="External"/><Relationship Id="rId24" Type="http://schemas.openxmlformats.org/officeDocument/2006/relationships/hyperlink" Target="https://tinyurl.com/ycj89dxe" TargetMode="External"/><Relationship Id="rId32" Type="http://schemas.openxmlformats.org/officeDocument/2006/relationships/hyperlink" Target="https://tinyurl.com/yy9ptu7w" TargetMode="External"/><Relationship Id="rId37" Type="http://schemas.openxmlformats.org/officeDocument/2006/relationships/hyperlink" Target="https://tinyurl.com/y7v84eet" TargetMode="External"/><Relationship Id="rId40" Type="http://schemas.openxmlformats.org/officeDocument/2006/relationships/printerSettings" Target="../printerSettings/printerSettings2.bin"/><Relationship Id="rId5" Type="http://schemas.openxmlformats.org/officeDocument/2006/relationships/hyperlink" Target="https://tinyurl.com/y2m3d4ts" TargetMode="External"/><Relationship Id="rId15" Type="http://schemas.openxmlformats.org/officeDocument/2006/relationships/hyperlink" Target="https://tinyurl.com/y3q3tq77" TargetMode="External"/><Relationship Id="rId23" Type="http://schemas.openxmlformats.org/officeDocument/2006/relationships/hyperlink" Target="https://tinyurl.com/y6wqhs3r" TargetMode="External"/><Relationship Id="rId28" Type="http://schemas.openxmlformats.org/officeDocument/2006/relationships/hyperlink" Target="https://tinyurl.com/y9el4d68" TargetMode="External"/><Relationship Id="rId36" Type="http://schemas.openxmlformats.org/officeDocument/2006/relationships/hyperlink" Target="https://tinyurl.com/y7o983ox" TargetMode="External"/><Relationship Id="rId10" Type="http://schemas.openxmlformats.org/officeDocument/2006/relationships/hyperlink" Target="https://tinyurl.com/yafz9m5s" TargetMode="External"/><Relationship Id="rId19" Type="http://schemas.openxmlformats.org/officeDocument/2006/relationships/hyperlink" Target="https://tinyurl.com/y3je66c9" TargetMode="External"/><Relationship Id="rId31" Type="http://schemas.openxmlformats.org/officeDocument/2006/relationships/hyperlink" Target="https://tinyurl.com/y43xnpkq" TargetMode="External"/><Relationship Id="rId4" Type="http://schemas.openxmlformats.org/officeDocument/2006/relationships/hyperlink" Target="https://tinyurl.com/y3rj3x5c" TargetMode="External"/><Relationship Id="rId9" Type="http://schemas.openxmlformats.org/officeDocument/2006/relationships/hyperlink" Target="https://tinyurl.com/yywkzlre" TargetMode="External"/><Relationship Id="rId14" Type="http://schemas.openxmlformats.org/officeDocument/2006/relationships/hyperlink" Target="https://tinyurl.com/yxdfgbfv" TargetMode="External"/><Relationship Id="rId22" Type="http://schemas.openxmlformats.org/officeDocument/2006/relationships/hyperlink" Target="https://tinyurl.com/y8kemz9g" TargetMode="External"/><Relationship Id="rId27" Type="http://schemas.openxmlformats.org/officeDocument/2006/relationships/hyperlink" Target="https://tinyurl.com/y6gmkpnl" TargetMode="External"/><Relationship Id="rId30" Type="http://schemas.openxmlformats.org/officeDocument/2006/relationships/hyperlink" Target="https://tinyurl.com/yceug3vy" TargetMode="External"/><Relationship Id="rId35" Type="http://schemas.openxmlformats.org/officeDocument/2006/relationships/hyperlink" Target="https://tinyurl.com/y2pjxc6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school-resource-management-self-assessment-tool/dashboard-support-notes" TargetMode="External"/><Relationship Id="rId13" Type="http://schemas.openxmlformats.org/officeDocument/2006/relationships/hyperlink" Target="https://www.gov.uk/government/publications/school-resource-management-self-assessment-tool/dashboard-support-notes" TargetMode="External"/><Relationship Id="rId18" Type="http://schemas.openxmlformats.org/officeDocument/2006/relationships/hyperlink" Target="https://www.gov.uk/government/publications/school-resource-management-self-assessment-tool/dashboard-support-notes" TargetMode="External"/><Relationship Id="rId26" Type="http://schemas.openxmlformats.org/officeDocument/2006/relationships/printerSettings" Target="../printerSettings/printerSettings3.bin"/><Relationship Id="rId3" Type="http://schemas.openxmlformats.org/officeDocument/2006/relationships/hyperlink" Target="https://www.gov.uk/government/publications/school-resource-management-self-assessment-tool/dashboard-support-notes" TargetMode="External"/><Relationship Id="rId21" Type="http://schemas.openxmlformats.org/officeDocument/2006/relationships/hyperlink" Target="https://www.gov.uk/government/publications/school-resource-management-self-assessment-tool/dashboard-support-notes" TargetMode="External"/><Relationship Id="rId7" Type="http://schemas.openxmlformats.org/officeDocument/2006/relationships/hyperlink" Target="https://www.gov.uk/government/publications/school-resource-management-self-assessment-tool/dashboard-support-notes" TargetMode="External"/><Relationship Id="rId12" Type="http://schemas.openxmlformats.org/officeDocument/2006/relationships/hyperlink" Target="https://www.gov.uk/government/publications/school-resource-management-self-assessment-tool/dashboard-support-notes" TargetMode="External"/><Relationship Id="rId17" Type="http://schemas.openxmlformats.org/officeDocument/2006/relationships/hyperlink" Target="https://www.gov.uk/government/publications/school-resource-management-self-assessment-tool/dashboard-support-notes" TargetMode="External"/><Relationship Id="rId25" Type="http://schemas.openxmlformats.org/officeDocument/2006/relationships/hyperlink" Target="https://www.gov.uk/government/publications/school-resource-management-self-assessment-tool/dashboard-support-notes" TargetMode="External"/><Relationship Id="rId2" Type="http://schemas.openxmlformats.org/officeDocument/2006/relationships/hyperlink" Target="https://www.gov.uk/government/publications/school-resource-management-self-assessment-tool/dashboard-support-notes" TargetMode="External"/><Relationship Id="rId16" Type="http://schemas.openxmlformats.org/officeDocument/2006/relationships/hyperlink" Target="https://www.gov.uk/government/publications/school-resource-management-self-assessment-tool/dashboard-support-notes" TargetMode="External"/><Relationship Id="rId20" Type="http://schemas.openxmlformats.org/officeDocument/2006/relationships/hyperlink" Target="https://www.gov.uk/government/publications/school-resource-management-self-assessment-tool/dashboard-support-notes" TargetMode="External"/><Relationship Id="rId1" Type="http://schemas.openxmlformats.org/officeDocument/2006/relationships/hyperlink" Target="https://www.gov.uk/government/publications/school-resource-management-self-assessment-tool/dashboard-support-notes" TargetMode="External"/><Relationship Id="rId6" Type="http://schemas.openxmlformats.org/officeDocument/2006/relationships/hyperlink" Target="https://www.gov.uk/government/publications/school-resource-management-self-assessment-tool/dashboard-support-notes" TargetMode="External"/><Relationship Id="rId11" Type="http://schemas.openxmlformats.org/officeDocument/2006/relationships/hyperlink" Target="https://www.gov.uk/government/publications/school-resource-management-self-assessment-tool/dashboard-support-notes" TargetMode="External"/><Relationship Id="rId24" Type="http://schemas.openxmlformats.org/officeDocument/2006/relationships/hyperlink" Target="https://www.gov.uk/government/publications/school-resource-management-self-assessment-tool/dashboard-support-notes" TargetMode="External"/><Relationship Id="rId5" Type="http://schemas.openxmlformats.org/officeDocument/2006/relationships/hyperlink" Target="https://www.gov.uk/government/publications/school-resource-management-self-assessment-tool/dashboard-support-notes" TargetMode="External"/><Relationship Id="rId15" Type="http://schemas.openxmlformats.org/officeDocument/2006/relationships/hyperlink" Target="https://www.gov.uk/government/publications/school-resource-management-self-assessment-tool/dashboard-support-notes" TargetMode="External"/><Relationship Id="rId23" Type="http://schemas.openxmlformats.org/officeDocument/2006/relationships/hyperlink" Target="https://www.gov.uk/government/publications/school-resource-management-self-assessment-tool/dashboard-support-notes" TargetMode="External"/><Relationship Id="rId10" Type="http://schemas.openxmlformats.org/officeDocument/2006/relationships/hyperlink" Target="https://www.gov.uk/government/publications/school-resource-management-self-assessment-tool/dashboard-support-notes" TargetMode="External"/><Relationship Id="rId19" Type="http://schemas.openxmlformats.org/officeDocument/2006/relationships/hyperlink" Target="https://www.gov.uk/government/publications/school-resource-management-self-assessment-tool/dashboard-support-notes" TargetMode="External"/><Relationship Id="rId4" Type="http://schemas.openxmlformats.org/officeDocument/2006/relationships/hyperlink" Target="https://www.gov.uk/government/publications/school-resource-management-self-assessment-tool/dashboard-support-notes" TargetMode="External"/><Relationship Id="rId9" Type="http://schemas.openxmlformats.org/officeDocument/2006/relationships/hyperlink" Target="https://www.gov.uk/government/publications/school-resource-management-self-assessment-tool/dashboard-support-notes" TargetMode="External"/><Relationship Id="rId14" Type="http://schemas.openxmlformats.org/officeDocument/2006/relationships/hyperlink" Target="https://www.gov.uk/government/publications/school-resource-management-self-assessment-tool/dashboard-support-notes" TargetMode="External"/><Relationship Id="rId22" Type="http://schemas.openxmlformats.org/officeDocument/2006/relationships/hyperlink" Target="https://www.gov.uk/government/publications/school-resource-management-self-assessment-tool/dashboard-support-notes" TargetMode="External"/><Relationship Id="rId27"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X25"/>
  <sheetViews>
    <sheetView showGridLines="0" showRowColHeaders="0" zoomScale="80" zoomScaleNormal="80" workbookViewId="0">
      <selection activeCell="L18" sqref="L18:N18"/>
    </sheetView>
  </sheetViews>
  <sheetFormatPr defaultColWidth="0" defaultRowHeight="0" customHeight="1" zeroHeight="1" x14ac:dyDescent="0.2"/>
  <cols>
    <col min="1" max="1" width="8" style="1" customWidth="1"/>
    <col min="2" max="2" width="2.5703125" style="1" customWidth="1"/>
    <col min="3" max="3" width="3.28515625" style="1" customWidth="1"/>
    <col min="4" max="11" width="9" style="1" customWidth="1"/>
    <col min="12" max="12" width="10.5703125" style="1" customWidth="1"/>
    <col min="13" max="13" width="9" style="1" customWidth="1"/>
    <col min="14" max="18" width="10.28515625" style="1" customWidth="1"/>
    <col min="19" max="20" width="9" style="1" customWidth="1"/>
    <col min="21" max="21" width="2.5703125" style="1" customWidth="1"/>
    <col min="22" max="22" width="7.5703125" style="1" customWidth="1"/>
    <col min="23" max="16384" width="9" style="1" hidden="1"/>
  </cols>
  <sheetData>
    <row r="1" spans="2:21" ht="14.25" customHeight="1" thickBot="1" x14ac:dyDescent="0.25"/>
    <row r="2" spans="2:21" ht="14.25" x14ac:dyDescent="0.2">
      <c r="B2" s="2"/>
      <c r="C2" s="3"/>
      <c r="D2" s="3"/>
      <c r="E2" s="3"/>
      <c r="F2" s="3"/>
      <c r="G2" s="3"/>
      <c r="H2" s="3"/>
      <c r="I2" s="3"/>
      <c r="J2" s="3"/>
      <c r="K2" s="3"/>
      <c r="L2" s="3"/>
      <c r="M2" s="3"/>
      <c r="N2" s="3"/>
      <c r="O2" s="3"/>
      <c r="P2" s="3"/>
      <c r="Q2" s="3"/>
      <c r="R2" s="3"/>
      <c r="S2" s="3"/>
      <c r="T2" s="3"/>
      <c r="U2" s="4"/>
    </row>
    <row r="3" spans="2:21" ht="20.25" x14ac:dyDescent="0.2">
      <c r="B3" s="6"/>
      <c r="C3" s="236" t="s">
        <v>172</v>
      </c>
      <c r="D3" s="236"/>
      <c r="E3" s="236"/>
      <c r="F3" s="236"/>
      <c r="G3" s="236"/>
      <c r="H3" s="236"/>
      <c r="I3" s="236"/>
      <c r="J3" s="236"/>
      <c r="K3" s="236"/>
      <c r="L3" s="236"/>
      <c r="M3" s="236"/>
      <c r="N3" s="236"/>
      <c r="O3" s="236"/>
      <c r="P3" s="236"/>
      <c r="Q3" s="236"/>
      <c r="R3" s="236"/>
      <c r="S3" s="236"/>
      <c r="T3" s="236"/>
      <c r="U3" s="7"/>
    </row>
    <row r="4" spans="2:21" ht="14.25" x14ac:dyDescent="0.2">
      <c r="B4" s="6"/>
      <c r="C4" s="5"/>
      <c r="D4" s="5"/>
      <c r="E4" s="5"/>
      <c r="F4" s="5"/>
      <c r="G4" s="5"/>
      <c r="H4" s="5"/>
      <c r="I4" s="5"/>
      <c r="J4" s="5"/>
      <c r="K4" s="5"/>
      <c r="L4" s="5"/>
      <c r="M4" s="5"/>
      <c r="N4" s="5"/>
      <c r="O4" s="5"/>
      <c r="P4" s="5"/>
      <c r="Q4" s="5"/>
      <c r="R4" s="5"/>
      <c r="S4" s="5"/>
      <c r="T4" s="5"/>
      <c r="U4" s="7"/>
    </row>
    <row r="5" spans="2:21" s="44" customFormat="1" ht="88.5" customHeight="1" x14ac:dyDescent="0.25">
      <c r="B5" s="42"/>
      <c r="C5" s="237" t="s">
        <v>173</v>
      </c>
      <c r="D5" s="238"/>
      <c r="E5" s="238"/>
      <c r="F5" s="238"/>
      <c r="G5" s="238"/>
      <c r="H5" s="238"/>
      <c r="I5" s="238"/>
      <c r="J5" s="238"/>
      <c r="K5" s="238"/>
      <c r="L5" s="238"/>
      <c r="M5" s="238"/>
      <c r="N5" s="238"/>
      <c r="O5" s="238"/>
      <c r="P5" s="238"/>
      <c r="Q5" s="238"/>
      <c r="R5" s="238"/>
      <c r="S5" s="238"/>
      <c r="T5" s="239"/>
      <c r="U5" s="43"/>
    </row>
    <row r="6" spans="2:21" s="44" customFormat="1" ht="31.15" customHeight="1" x14ac:dyDescent="0.25">
      <c r="B6" s="42"/>
      <c r="C6" s="243" t="s">
        <v>207</v>
      </c>
      <c r="D6" s="244"/>
      <c r="E6" s="244"/>
      <c r="F6" s="244"/>
      <c r="G6" s="244"/>
      <c r="H6" s="244"/>
      <c r="I6" s="244"/>
      <c r="J6" s="244"/>
      <c r="K6" s="244"/>
      <c r="L6" s="244"/>
      <c r="M6" s="244"/>
      <c r="N6" s="244"/>
      <c r="O6" s="244"/>
      <c r="P6" s="244"/>
      <c r="Q6" s="244"/>
      <c r="R6" s="244"/>
      <c r="S6" s="244"/>
      <c r="T6" s="245"/>
      <c r="U6" s="43"/>
    </row>
    <row r="7" spans="2:21" s="44" customFormat="1" ht="40.5" customHeight="1" x14ac:dyDescent="0.25">
      <c r="B7" s="42"/>
      <c r="C7" s="243" t="s">
        <v>174</v>
      </c>
      <c r="D7" s="244"/>
      <c r="E7" s="244"/>
      <c r="F7" s="244"/>
      <c r="G7" s="244"/>
      <c r="H7" s="244"/>
      <c r="I7" s="244"/>
      <c r="J7" s="244"/>
      <c r="K7" s="244"/>
      <c r="L7" s="244"/>
      <c r="M7" s="244"/>
      <c r="N7" s="244"/>
      <c r="O7" s="244"/>
      <c r="P7" s="244"/>
      <c r="Q7" s="244"/>
      <c r="R7" s="244"/>
      <c r="S7" s="244"/>
      <c r="T7" s="245"/>
      <c r="U7" s="43"/>
    </row>
    <row r="8" spans="2:21" ht="40.5" customHeight="1" x14ac:dyDescent="0.2">
      <c r="B8" s="6"/>
      <c r="C8" s="240" t="s">
        <v>355</v>
      </c>
      <c r="D8" s="241"/>
      <c r="E8" s="241"/>
      <c r="F8" s="241"/>
      <c r="G8" s="241"/>
      <c r="H8" s="241"/>
      <c r="I8" s="241"/>
      <c r="J8" s="241"/>
      <c r="K8" s="241"/>
      <c r="L8" s="241"/>
      <c r="M8" s="241"/>
      <c r="N8" s="241"/>
      <c r="O8" s="241"/>
      <c r="P8" s="241"/>
      <c r="Q8" s="241"/>
      <c r="R8" s="241"/>
      <c r="S8" s="241"/>
      <c r="T8" s="242"/>
      <c r="U8" s="7"/>
    </row>
    <row r="9" spans="2:21" ht="15" x14ac:dyDescent="0.2">
      <c r="B9" s="6"/>
      <c r="C9" s="45"/>
      <c r="D9" s="45"/>
      <c r="E9" s="45"/>
      <c r="F9" s="45"/>
      <c r="G9" s="45"/>
      <c r="H9" s="45"/>
      <c r="I9" s="45"/>
      <c r="J9" s="45"/>
      <c r="K9" s="45"/>
      <c r="L9" s="45"/>
      <c r="M9" s="45"/>
      <c r="N9" s="45"/>
      <c r="O9" s="45"/>
      <c r="P9" s="45"/>
      <c r="Q9" s="45"/>
      <c r="R9" s="45"/>
      <c r="S9" s="45"/>
      <c r="T9" s="45"/>
      <c r="U9" s="7"/>
    </row>
    <row r="10" spans="2:21" ht="14.25" x14ac:dyDescent="0.2">
      <c r="B10" s="6"/>
      <c r="C10" s="5"/>
      <c r="D10" s="5"/>
      <c r="E10" s="5"/>
      <c r="F10" s="5"/>
      <c r="G10" s="5"/>
      <c r="H10" s="5"/>
      <c r="I10" s="5"/>
      <c r="J10" s="5"/>
      <c r="K10" s="5"/>
      <c r="L10" s="5"/>
      <c r="M10" s="5"/>
      <c r="N10" s="5"/>
      <c r="O10" s="5"/>
      <c r="P10" s="5"/>
      <c r="Q10" s="5"/>
      <c r="R10" s="5"/>
      <c r="S10" s="5"/>
      <c r="T10" s="5"/>
      <c r="U10" s="7"/>
    </row>
    <row r="11" spans="2:21" ht="24.75" customHeight="1" x14ac:dyDescent="0.2">
      <c r="B11" s="6"/>
      <c r="C11" s="236" t="s">
        <v>175</v>
      </c>
      <c r="D11" s="236"/>
      <c r="E11" s="236"/>
      <c r="F11" s="236"/>
      <c r="G11" s="236"/>
      <c r="H11" s="236"/>
      <c r="I11" s="236"/>
      <c r="J11" s="236"/>
      <c r="K11" s="236"/>
      <c r="L11" s="236"/>
      <c r="M11" s="236"/>
      <c r="N11" s="236"/>
      <c r="O11" s="236"/>
      <c r="P11" s="236"/>
      <c r="Q11" s="236"/>
      <c r="R11" s="236"/>
      <c r="S11" s="236"/>
      <c r="T11" s="236"/>
      <c r="U11" s="7"/>
    </row>
    <row r="12" spans="2:21" ht="14.25" x14ac:dyDescent="0.2">
      <c r="B12" s="6"/>
      <c r="C12" s="5"/>
      <c r="D12" s="5"/>
      <c r="E12" s="5"/>
      <c r="F12" s="5"/>
      <c r="G12" s="5"/>
      <c r="H12" s="5"/>
      <c r="I12" s="5"/>
      <c r="J12" s="5"/>
      <c r="K12" s="5"/>
      <c r="L12" s="5"/>
      <c r="M12" s="5"/>
      <c r="N12" s="5"/>
      <c r="O12" s="5"/>
      <c r="P12" s="5"/>
      <c r="Q12" s="5"/>
      <c r="R12" s="5"/>
      <c r="S12" s="5"/>
      <c r="T12" s="5"/>
      <c r="U12" s="7"/>
    </row>
    <row r="13" spans="2:21" ht="15.75" x14ac:dyDescent="0.25">
      <c r="B13" s="6"/>
      <c r="C13" s="247" t="s">
        <v>165</v>
      </c>
      <c r="D13" s="248"/>
      <c r="E13" s="248"/>
      <c r="F13" s="248"/>
      <c r="G13" s="248"/>
      <c r="H13" s="248"/>
      <c r="I13" s="248"/>
      <c r="J13" s="248"/>
      <c r="K13" s="248"/>
      <c r="L13" s="248"/>
      <c r="M13" s="248"/>
      <c r="N13" s="248"/>
      <c r="O13" s="248"/>
      <c r="P13" s="248"/>
      <c r="Q13" s="248"/>
      <c r="R13" s="248"/>
      <c r="S13" s="248"/>
      <c r="T13" s="249"/>
      <c r="U13" s="7"/>
    </row>
    <row r="14" spans="2:21" ht="282" customHeight="1" x14ac:dyDescent="0.2">
      <c r="B14" s="6"/>
      <c r="C14" s="250" t="s">
        <v>53</v>
      </c>
      <c r="D14" s="251"/>
      <c r="E14" s="251"/>
      <c r="F14" s="251"/>
      <c r="G14" s="251"/>
      <c r="H14" s="251"/>
      <c r="I14" s="251"/>
      <c r="J14" s="251"/>
      <c r="K14" s="251"/>
      <c r="L14" s="251"/>
      <c r="M14" s="251"/>
      <c r="N14" s="251"/>
      <c r="O14" s="251"/>
      <c r="P14" s="251"/>
      <c r="Q14" s="251"/>
      <c r="R14" s="251"/>
      <c r="S14" s="251"/>
      <c r="T14" s="252"/>
      <c r="U14" s="7"/>
    </row>
    <row r="15" spans="2:21" ht="14.65" customHeight="1" x14ac:dyDescent="0.2">
      <c r="B15" s="6"/>
      <c r="C15" s="5"/>
      <c r="D15" s="5"/>
      <c r="E15" s="5"/>
      <c r="F15" s="5"/>
      <c r="G15" s="5"/>
      <c r="H15" s="5"/>
      <c r="I15" s="5"/>
      <c r="J15" s="5"/>
      <c r="K15" s="5"/>
      <c r="L15" s="5"/>
      <c r="M15" s="5"/>
      <c r="N15" s="5"/>
      <c r="O15" s="5"/>
      <c r="P15" s="5"/>
      <c r="Q15" s="5"/>
      <c r="R15" s="5"/>
      <c r="S15" s="5"/>
      <c r="T15" s="5"/>
      <c r="U15" s="7"/>
    </row>
    <row r="16" spans="2:21" ht="15.4" customHeight="1" x14ac:dyDescent="0.2">
      <c r="B16" s="6"/>
      <c r="C16" s="254" t="s">
        <v>54</v>
      </c>
      <c r="D16" s="255"/>
      <c r="E16" s="255"/>
      <c r="F16" s="255"/>
      <c r="G16" s="255"/>
      <c r="H16" s="255"/>
      <c r="I16" s="255"/>
      <c r="J16" s="255"/>
      <c r="K16" s="256"/>
      <c r="L16" s="260"/>
      <c r="M16" s="261"/>
      <c r="N16" s="262"/>
      <c r="O16" s="253" t="s">
        <v>176</v>
      </c>
      <c r="P16" s="253"/>
      <c r="Q16" s="253"/>
      <c r="R16" s="253"/>
      <c r="S16" s="253"/>
      <c r="U16" s="7"/>
    </row>
    <row r="17" spans="1:24" ht="15.4" customHeight="1" x14ac:dyDescent="0.2">
      <c r="B17" s="6"/>
      <c r="C17" s="46"/>
      <c r="D17" s="46"/>
      <c r="E17" s="12"/>
      <c r="U17" s="7"/>
    </row>
    <row r="18" spans="1:24" ht="15.4" customHeight="1" x14ac:dyDescent="0.2">
      <c r="B18" s="6"/>
      <c r="C18" s="254" t="s">
        <v>57</v>
      </c>
      <c r="D18" s="255"/>
      <c r="E18" s="255"/>
      <c r="F18" s="255"/>
      <c r="G18" s="255"/>
      <c r="H18" s="255"/>
      <c r="I18" s="255"/>
      <c r="J18" s="255"/>
      <c r="K18" s="256"/>
      <c r="L18" s="260"/>
      <c r="M18" s="261"/>
      <c r="N18" s="262"/>
      <c r="U18" s="7"/>
    </row>
    <row r="19" spans="1:24" ht="15.4" customHeight="1" x14ac:dyDescent="0.2">
      <c r="B19" s="6"/>
      <c r="C19" s="46"/>
      <c r="D19" s="46"/>
      <c r="E19" s="12"/>
      <c r="F19" s="12"/>
      <c r="G19" s="12"/>
      <c r="L19" s="12"/>
      <c r="M19" s="12"/>
      <c r="N19" s="12"/>
      <c r="O19" s="12"/>
      <c r="U19" s="7"/>
    </row>
    <row r="20" spans="1:24" ht="15.4" customHeight="1" x14ac:dyDescent="0.2">
      <c r="B20" s="6"/>
      <c r="C20" s="257" t="s">
        <v>177</v>
      </c>
      <c r="D20" s="258"/>
      <c r="E20" s="258"/>
      <c r="F20" s="258"/>
      <c r="G20" s="258"/>
      <c r="H20" s="258"/>
      <c r="I20" s="258"/>
      <c r="J20" s="258"/>
      <c r="K20" s="259"/>
      <c r="L20" s="260"/>
      <c r="M20" s="261"/>
      <c r="N20" s="262"/>
      <c r="U20" s="7"/>
    </row>
    <row r="21" spans="1:24" s="21" customFormat="1" ht="15.4" customHeight="1" thickBot="1" x14ac:dyDescent="0.25">
      <c r="B21" s="30"/>
      <c r="C21" s="32"/>
      <c r="D21" s="32"/>
      <c r="E21" s="32"/>
      <c r="F21" s="32"/>
      <c r="G21" s="32"/>
      <c r="H21" s="32"/>
      <c r="I21" s="32"/>
      <c r="J21" s="32"/>
      <c r="K21" s="33"/>
      <c r="L21" s="47"/>
      <c r="M21" s="35"/>
      <c r="N21" s="36"/>
      <c r="O21" s="36"/>
      <c r="P21" s="36"/>
      <c r="Q21" s="36"/>
      <c r="R21" s="36"/>
      <c r="S21" s="36"/>
      <c r="T21" s="36"/>
      <c r="U21" s="37"/>
    </row>
    <row r="22" spans="1:24" ht="39.4" customHeight="1" x14ac:dyDescent="0.2">
      <c r="A22" s="5"/>
      <c r="B22" s="5"/>
      <c r="C22" s="246"/>
      <c r="D22" s="246"/>
      <c r="E22" s="246"/>
      <c r="F22" s="246"/>
      <c r="G22" s="246"/>
      <c r="H22" s="246"/>
      <c r="I22" s="246"/>
      <c r="J22" s="246"/>
      <c r="K22" s="5"/>
      <c r="L22" s="38"/>
      <c r="M22" s="39"/>
      <c r="N22" s="40"/>
      <c r="O22" s="40"/>
      <c r="P22" s="40"/>
      <c r="Q22" s="40"/>
      <c r="R22" s="40"/>
      <c r="S22" s="5"/>
      <c r="T22" s="5"/>
      <c r="U22" s="5"/>
      <c r="V22" s="5"/>
      <c r="W22" s="41"/>
      <c r="X22" s="41"/>
    </row>
    <row r="23" spans="1:24" ht="0" hidden="1" customHeight="1" x14ac:dyDescent="0.2"/>
    <row r="24" spans="1:24" ht="0" hidden="1" customHeight="1" x14ac:dyDescent="0.2"/>
    <row r="25" spans="1:24" ht="0" hidden="1" customHeight="1" x14ac:dyDescent="0.2"/>
  </sheetData>
  <sheetProtection algorithmName="SHA-512" hashValue="1Au4bJce3vqYEjtW1BuZQxN6KdJTV4jfsQJ+PSDRQFTeTqwwFFyqTJ1ltO3WDsUP7bo52uuTztZkRDTSQEJh9Q==" saltValue="ckK19BvSjsSAioNGiLIxJg==" spinCount="100000" sheet="1" formatColumns="0" formatRows="0" insertColumns="0" insertRows="0"/>
  <mergeCells count="16">
    <mergeCell ref="C3:T3"/>
    <mergeCell ref="C5:T5"/>
    <mergeCell ref="C8:T8"/>
    <mergeCell ref="C6:T6"/>
    <mergeCell ref="C22:J22"/>
    <mergeCell ref="C13:T13"/>
    <mergeCell ref="C11:T11"/>
    <mergeCell ref="C14:T14"/>
    <mergeCell ref="O16:S16"/>
    <mergeCell ref="C16:K16"/>
    <mergeCell ref="C20:K20"/>
    <mergeCell ref="C18:K18"/>
    <mergeCell ref="L16:N16"/>
    <mergeCell ref="L20:N20"/>
    <mergeCell ref="L18:N18"/>
    <mergeCell ref="C7:T7"/>
  </mergeCells>
  <dataValidations disablePrompts="1" count="1">
    <dataValidation type="list" allowBlank="1" showInputMessage="1" showErrorMessage="1" sqref="L21:L22">
      <formula1>$W$2:$Y$2</formula1>
    </dataValidation>
  </dataValidations>
  <pageMargins left="0.70866141732283472" right="0.70866141732283472" top="0.74803149606299213" bottom="0.74803149606299213" header="0.31496062992125984" footer="0.31496062992125984"/>
  <pageSetup paperSize="9" scale="6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Y90"/>
  <sheetViews>
    <sheetView showGridLines="0" showRowColHeaders="0" tabSelected="1" zoomScale="80" zoomScaleNormal="80" workbookViewId="0">
      <selection activeCell="M58" sqref="M58"/>
    </sheetView>
  </sheetViews>
  <sheetFormatPr defaultColWidth="0" defaultRowHeight="0" customHeight="1" zeroHeight="1" x14ac:dyDescent="0.2"/>
  <cols>
    <col min="1" max="1" width="8" style="1" customWidth="1"/>
    <col min="2" max="2" width="2.5703125" style="1" customWidth="1"/>
    <col min="3" max="3" width="3.28515625" style="1" customWidth="1"/>
    <col min="4" max="10" width="9" style="1" customWidth="1"/>
    <col min="11" max="11" width="9.7109375" style="1" bestFit="1" customWidth="1"/>
    <col min="12" max="12" width="8.42578125" style="1" customWidth="1"/>
    <col min="13" max="13" width="16.28515625" style="1" customWidth="1"/>
    <col min="14" max="14" width="9" style="1" customWidth="1"/>
    <col min="15" max="15" width="19.85546875" style="1" customWidth="1"/>
    <col min="16" max="16" width="9" style="1" customWidth="1"/>
    <col min="17" max="17" width="54.5703125" style="1" customWidth="1"/>
    <col min="18" max="18" width="2.5703125" style="1" customWidth="1"/>
    <col min="19" max="19" width="7.5703125" style="1" customWidth="1"/>
    <col min="20" max="21" width="9" style="1" hidden="1" customWidth="1"/>
    <col min="22" max="25" width="0" style="1" hidden="1" customWidth="1"/>
    <col min="26" max="16384" width="9" style="1" hidden="1"/>
  </cols>
  <sheetData>
    <row r="1" spans="2:21" ht="14.25" customHeight="1" thickBot="1" x14ac:dyDescent="0.25"/>
    <row r="2" spans="2:21" ht="14.25" x14ac:dyDescent="0.2">
      <c r="B2" s="2"/>
      <c r="C2" s="3"/>
      <c r="D2" s="3"/>
      <c r="E2" s="3"/>
      <c r="F2" s="3"/>
      <c r="G2" s="3"/>
      <c r="H2" s="3"/>
      <c r="I2" s="3"/>
      <c r="J2" s="3"/>
      <c r="K2" s="3"/>
      <c r="L2" s="3"/>
      <c r="M2" s="3"/>
      <c r="N2" s="3"/>
      <c r="O2" s="3"/>
      <c r="P2" s="3"/>
      <c r="Q2" s="3"/>
      <c r="R2" s="4"/>
    </row>
    <row r="3" spans="2:21" ht="24.75" customHeight="1" x14ac:dyDescent="0.2">
      <c r="B3" s="6"/>
      <c r="C3" s="236" t="s">
        <v>184</v>
      </c>
      <c r="D3" s="236"/>
      <c r="E3" s="236"/>
      <c r="F3" s="236"/>
      <c r="G3" s="236"/>
      <c r="H3" s="236"/>
      <c r="I3" s="236"/>
      <c r="J3" s="236"/>
      <c r="K3" s="236"/>
      <c r="L3" s="236"/>
      <c r="M3" s="236"/>
      <c r="N3" s="236"/>
      <c r="O3" s="236"/>
      <c r="P3" s="236"/>
      <c r="Q3" s="236"/>
      <c r="R3" s="7"/>
    </row>
    <row r="4" spans="2:21" ht="14.25" x14ac:dyDescent="0.2">
      <c r="B4" s="6"/>
      <c r="C4" s="5"/>
      <c r="D4" s="5"/>
      <c r="E4" s="5"/>
      <c r="F4" s="5"/>
      <c r="G4" s="5"/>
      <c r="H4" s="5"/>
      <c r="I4" s="5"/>
      <c r="J4" s="5"/>
      <c r="K4" s="5"/>
      <c r="L4" s="5"/>
      <c r="M4" s="5"/>
      <c r="N4" s="5"/>
      <c r="O4" s="5"/>
      <c r="P4" s="5"/>
      <c r="Q4" s="5"/>
      <c r="R4" s="7"/>
    </row>
    <row r="5" spans="2:21" ht="90.4" customHeight="1" x14ac:dyDescent="0.2">
      <c r="B5" s="6"/>
      <c r="C5" s="273" t="s">
        <v>356</v>
      </c>
      <c r="D5" s="274"/>
      <c r="E5" s="274"/>
      <c r="F5" s="274"/>
      <c r="G5" s="274"/>
      <c r="H5" s="274"/>
      <c r="I5" s="274"/>
      <c r="J5" s="274"/>
      <c r="K5" s="274"/>
      <c r="L5" s="274"/>
      <c r="M5" s="274"/>
      <c r="N5" s="274"/>
      <c r="O5" s="274"/>
      <c r="P5" s="274"/>
      <c r="Q5" s="275"/>
      <c r="R5" s="7"/>
    </row>
    <row r="6" spans="2:21" ht="40.9" customHeight="1" x14ac:dyDescent="0.2">
      <c r="B6" s="6"/>
      <c r="C6" s="276" t="s">
        <v>178</v>
      </c>
      <c r="D6" s="277"/>
      <c r="E6" s="277"/>
      <c r="F6" s="277"/>
      <c r="G6" s="277"/>
      <c r="H6" s="277"/>
      <c r="I6" s="277"/>
      <c r="J6" s="277"/>
      <c r="K6" s="277"/>
      <c r="L6" s="277"/>
      <c r="M6" s="277"/>
      <c r="N6" s="277"/>
      <c r="O6" s="277"/>
      <c r="P6" s="277"/>
      <c r="Q6" s="278"/>
      <c r="R6" s="7"/>
    </row>
    <row r="7" spans="2:21" ht="40.15" customHeight="1" x14ac:dyDescent="0.2">
      <c r="B7" s="6"/>
      <c r="C7" s="279" t="s">
        <v>351</v>
      </c>
      <c r="D7" s="280"/>
      <c r="E7" s="280"/>
      <c r="F7" s="280"/>
      <c r="G7" s="280"/>
      <c r="H7" s="280"/>
      <c r="I7" s="280"/>
      <c r="J7" s="280"/>
      <c r="K7" s="280"/>
      <c r="L7" s="280"/>
      <c r="M7" s="280"/>
      <c r="N7" s="280"/>
      <c r="O7" s="280"/>
      <c r="P7" s="280"/>
      <c r="Q7" s="281"/>
      <c r="R7" s="7"/>
    </row>
    <row r="8" spans="2:21" ht="14.65" customHeight="1" x14ac:dyDescent="0.2">
      <c r="B8" s="6"/>
      <c r="C8" s="5"/>
      <c r="D8" s="5"/>
      <c r="E8" s="5"/>
      <c r="F8" s="5"/>
      <c r="G8" s="5"/>
      <c r="H8" s="5"/>
      <c r="I8" s="5"/>
      <c r="J8" s="5"/>
      <c r="K8" s="5"/>
      <c r="L8" s="5"/>
      <c r="M8" s="5"/>
      <c r="N8" s="5"/>
      <c r="O8" s="5"/>
      <c r="P8" s="5"/>
      <c r="Q8" s="5"/>
      <c r="R8" s="7"/>
    </row>
    <row r="9" spans="2:21" ht="14.65" customHeight="1" x14ac:dyDescent="0.2">
      <c r="B9" s="6"/>
      <c r="C9" s="282" t="s">
        <v>179</v>
      </c>
      <c r="D9" s="283"/>
      <c r="E9" s="283"/>
      <c r="F9" s="284"/>
      <c r="G9" s="288" t="s">
        <v>406</v>
      </c>
      <c r="H9" s="288"/>
      <c r="I9" s="288"/>
      <c r="J9" s="288"/>
      <c r="K9" s="288"/>
      <c r="L9" s="288"/>
      <c r="M9" s="288"/>
      <c r="N9" s="288"/>
      <c r="O9" s="288"/>
      <c r="P9" s="288"/>
      <c r="Q9" s="288"/>
      <c r="R9" s="7"/>
    </row>
    <row r="10" spans="2:21" ht="14.65" customHeight="1" x14ac:dyDescent="0.2">
      <c r="B10" s="6"/>
      <c r="C10" s="285"/>
      <c r="D10" s="286"/>
      <c r="E10" s="286"/>
      <c r="F10" s="287"/>
      <c r="G10" s="288"/>
      <c r="H10" s="288"/>
      <c r="I10" s="288"/>
      <c r="J10" s="288"/>
      <c r="K10" s="288"/>
      <c r="L10" s="288"/>
      <c r="M10" s="288"/>
      <c r="N10" s="288"/>
      <c r="O10" s="288"/>
      <c r="P10" s="288"/>
      <c r="Q10" s="288"/>
      <c r="R10" s="7"/>
    </row>
    <row r="11" spans="2:21" s="21" customFormat="1" ht="14.25" customHeight="1" x14ac:dyDescent="0.2">
      <c r="B11" s="17"/>
      <c r="C11" s="10"/>
      <c r="D11" s="10"/>
      <c r="E11" s="10"/>
      <c r="F11" s="10"/>
      <c r="G11" s="10"/>
      <c r="H11" s="10"/>
      <c r="I11" s="10"/>
      <c r="J11" s="10"/>
      <c r="K11" s="10"/>
      <c r="L11" s="10"/>
      <c r="M11" s="18"/>
      <c r="N11" s="19"/>
      <c r="O11" s="19"/>
      <c r="P11" s="19"/>
      <c r="Q11" s="18"/>
      <c r="R11" s="20"/>
    </row>
    <row r="12" spans="2:21" s="25" customFormat="1" ht="35.25" customHeight="1" x14ac:dyDescent="0.25">
      <c r="B12" s="22"/>
      <c r="C12" s="23"/>
      <c r="D12" s="23"/>
      <c r="E12" s="23"/>
      <c r="F12" s="23"/>
      <c r="G12" s="23"/>
      <c r="H12" s="23"/>
      <c r="I12" s="23"/>
      <c r="J12" s="23"/>
      <c r="K12" s="23"/>
      <c r="L12" s="23"/>
      <c r="M12" s="139" t="s">
        <v>311</v>
      </c>
      <c r="N12" s="139"/>
      <c r="O12" s="231" t="s">
        <v>352</v>
      </c>
      <c r="P12" s="228"/>
      <c r="Q12" s="228" t="s">
        <v>13</v>
      </c>
      <c r="R12" s="24"/>
    </row>
    <row r="13" spans="2:21" s="21" customFormat="1" ht="15.75" x14ac:dyDescent="0.2">
      <c r="B13" s="17"/>
      <c r="C13" s="266" t="s">
        <v>12</v>
      </c>
      <c r="D13" s="266"/>
      <c r="E13" s="266"/>
      <c r="F13" s="266"/>
      <c r="G13" s="266"/>
      <c r="H13" s="266"/>
      <c r="I13" s="266"/>
      <c r="J13" s="266"/>
      <c r="K13" s="266"/>
      <c r="L13" s="266"/>
      <c r="M13" s="266"/>
      <c r="N13" s="266"/>
      <c r="O13" s="266"/>
      <c r="P13" s="266"/>
      <c r="Q13" s="266"/>
      <c r="R13" s="20"/>
    </row>
    <row r="14" spans="2:21" s="21" customFormat="1" ht="4.1500000000000004" customHeight="1" x14ac:dyDescent="0.2">
      <c r="B14" s="17"/>
      <c r="C14" s="10"/>
      <c r="D14" s="10"/>
      <c r="E14" s="10"/>
      <c r="F14" s="11"/>
      <c r="G14" s="11"/>
      <c r="H14" s="11"/>
      <c r="I14" s="11"/>
      <c r="J14" s="11"/>
      <c r="K14" s="11"/>
      <c r="L14" s="11"/>
      <c r="M14" s="11"/>
      <c r="N14" s="11"/>
      <c r="O14" s="11"/>
      <c r="P14" s="11"/>
      <c r="Q14" s="11"/>
      <c r="R14" s="20"/>
    </row>
    <row r="15" spans="2:21" s="21" customFormat="1" ht="60" customHeight="1" x14ac:dyDescent="0.2">
      <c r="B15" s="17"/>
      <c r="C15" s="26">
        <v>1</v>
      </c>
      <c r="D15" s="263" t="s">
        <v>320</v>
      </c>
      <c r="E15" s="264"/>
      <c r="F15" s="264"/>
      <c r="G15" s="264"/>
      <c r="H15" s="264"/>
      <c r="I15" s="264"/>
      <c r="J15" s="265"/>
      <c r="K15" s="235" t="s">
        <v>363</v>
      </c>
      <c r="L15" s="10"/>
      <c r="M15" s="232" t="s">
        <v>402</v>
      </c>
      <c r="N15" s="27"/>
      <c r="O15" s="230"/>
      <c r="P15" s="27"/>
      <c r="Q15" s="229"/>
      <c r="R15" s="20"/>
    </row>
    <row r="16" spans="2:21" s="21" customFormat="1" ht="60" customHeight="1" x14ac:dyDescent="0.2">
      <c r="B16" s="17"/>
      <c r="C16" s="26">
        <v>2</v>
      </c>
      <c r="D16" s="263" t="s">
        <v>336</v>
      </c>
      <c r="E16" s="264"/>
      <c r="F16" s="264"/>
      <c r="G16" s="264"/>
      <c r="H16" s="264"/>
      <c r="I16" s="264"/>
      <c r="J16" s="265"/>
      <c r="K16" s="235" t="s">
        <v>364</v>
      </c>
      <c r="L16" s="10"/>
      <c r="M16" s="232" t="s">
        <v>402</v>
      </c>
      <c r="N16" s="27"/>
      <c r="O16" s="230"/>
      <c r="P16" s="27"/>
      <c r="Q16" s="229"/>
      <c r="R16" s="20"/>
      <c r="T16" s="28"/>
      <c r="U16" s="28"/>
    </row>
    <row r="17" spans="2:21" s="21" customFormat="1" ht="60" customHeight="1" x14ac:dyDescent="0.2">
      <c r="B17" s="17"/>
      <c r="C17" s="26">
        <v>3</v>
      </c>
      <c r="D17" s="263" t="s">
        <v>309</v>
      </c>
      <c r="E17" s="264"/>
      <c r="F17" s="264"/>
      <c r="G17" s="264"/>
      <c r="H17" s="264"/>
      <c r="I17" s="264"/>
      <c r="J17" s="265"/>
      <c r="K17" s="235" t="s">
        <v>365</v>
      </c>
      <c r="L17" s="10"/>
      <c r="M17" s="232" t="s">
        <v>402</v>
      </c>
      <c r="N17" s="27"/>
      <c r="O17" s="230"/>
      <c r="P17" s="27"/>
      <c r="Q17" s="229"/>
      <c r="R17" s="20"/>
      <c r="T17" s="28"/>
      <c r="U17" s="28"/>
    </row>
    <row r="18" spans="2:21" s="21" customFormat="1" ht="60" customHeight="1" x14ac:dyDescent="0.2">
      <c r="B18" s="17"/>
      <c r="C18" s="29">
        <v>4</v>
      </c>
      <c r="D18" s="263" t="s">
        <v>337</v>
      </c>
      <c r="E18" s="264"/>
      <c r="F18" s="264"/>
      <c r="G18" s="264"/>
      <c r="H18" s="264"/>
      <c r="I18" s="264"/>
      <c r="J18" s="265"/>
      <c r="K18" s="235" t="s">
        <v>366</v>
      </c>
      <c r="L18" s="10"/>
      <c r="M18" s="232" t="s">
        <v>402</v>
      </c>
      <c r="N18" s="27"/>
      <c r="O18" s="230"/>
      <c r="P18" s="27"/>
      <c r="Q18" s="229"/>
      <c r="R18" s="20"/>
    </row>
    <row r="19" spans="2:21" s="21" customFormat="1" ht="60" customHeight="1" x14ac:dyDescent="0.2">
      <c r="B19" s="17"/>
      <c r="C19" s="29">
        <v>5</v>
      </c>
      <c r="D19" s="263" t="s">
        <v>310</v>
      </c>
      <c r="E19" s="264"/>
      <c r="F19" s="264"/>
      <c r="G19" s="264"/>
      <c r="H19" s="264"/>
      <c r="I19" s="264"/>
      <c r="J19" s="265"/>
      <c r="K19" s="235" t="s">
        <v>367</v>
      </c>
      <c r="L19" s="10"/>
      <c r="M19" s="232" t="s">
        <v>402</v>
      </c>
      <c r="N19" s="27"/>
      <c r="O19" s="230"/>
      <c r="P19" s="27"/>
      <c r="Q19" s="229"/>
      <c r="R19" s="20"/>
    </row>
    <row r="20" spans="2:21" s="21" customFormat="1" ht="60" customHeight="1" x14ac:dyDescent="0.2">
      <c r="B20" s="17"/>
      <c r="C20" s="29" t="s">
        <v>345</v>
      </c>
      <c r="D20" s="263" t="s">
        <v>312</v>
      </c>
      <c r="E20" s="264"/>
      <c r="F20" s="264"/>
      <c r="G20" s="264"/>
      <c r="H20" s="264"/>
      <c r="I20" s="264"/>
      <c r="J20" s="265"/>
      <c r="K20" s="235" t="s">
        <v>368</v>
      </c>
      <c r="L20" s="10"/>
      <c r="M20" s="232">
        <v>5</v>
      </c>
      <c r="N20" s="27"/>
      <c r="O20" s="230"/>
      <c r="P20" s="27"/>
      <c r="Q20" s="229"/>
      <c r="R20" s="20"/>
    </row>
    <row r="21" spans="2:21" s="21" customFormat="1" ht="60" customHeight="1" x14ac:dyDescent="0.2">
      <c r="B21" s="17"/>
      <c r="C21" s="29" t="s">
        <v>346</v>
      </c>
      <c r="D21" s="267" t="s">
        <v>353</v>
      </c>
      <c r="E21" s="268"/>
      <c r="F21" s="268"/>
      <c r="G21" s="268"/>
      <c r="H21" s="268"/>
      <c r="I21" s="268"/>
      <c r="J21" s="269"/>
      <c r="K21" s="235" t="s">
        <v>368</v>
      </c>
      <c r="L21" s="10"/>
      <c r="M21" s="232" t="s">
        <v>402</v>
      </c>
      <c r="N21" s="27"/>
      <c r="O21" s="230"/>
      <c r="P21" s="27"/>
      <c r="Q21" s="229" t="s">
        <v>408</v>
      </c>
      <c r="R21" s="20"/>
    </row>
    <row r="22" spans="2:21" s="21" customFormat="1" ht="60" customHeight="1" x14ac:dyDescent="0.2">
      <c r="B22" s="17"/>
      <c r="C22" s="29">
        <v>7</v>
      </c>
      <c r="D22" s="263" t="s">
        <v>313</v>
      </c>
      <c r="E22" s="264"/>
      <c r="F22" s="264"/>
      <c r="G22" s="264"/>
      <c r="H22" s="264"/>
      <c r="I22" s="264"/>
      <c r="J22" s="265"/>
      <c r="K22" s="235" t="s">
        <v>369</v>
      </c>
      <c r="L22" s="10"/>
      <c r="M22" s="232" t="s">
        <v>402</v>
      </c>
      <c r="N22" s="27"/>
      <c r="O22" s="230"/>
      <c r="P22" s="27"/>
      <c r="Q22" s="229" t="s">
        <v>409</v>
      </c>
      <c r="R22" s="20"/>
    </row>
    <row r="23" spans="2:21" s="21" customFormat="1" ht="60" customHeight="1" x14ac:dyDescent="0.2">
      <c r="B23" s="17"/>
      <c r="C23" s="29">
        <v>8</v>
      </c>
      <c r="D23" s="263" t="s">
        <v>314</v>
      </c>
      <c r="E23" s="264"/>
      <c r="F23" s="264"/>
      <c r="G23" s="264"/>
      <c r="H23" s="264"/>
      <c r="I23" s="264"/>
      <c r="J23" s="265"/>
      <c r="K23" s="235" t="s">
        <v>370</v>
      </c>
      <c r="L23" s="10"/>
      <c r="M23" s="232" t="s">
        <v>402</v>
      </c>
      <c r="N23" s="27"/>
      <c r="O23" s="230"/>
      <c r="P23" s="27"/>
      <c r="Q23" s="229"/>
      <c r="R23" s="20"/>
    </row>
    <row r="24" spans="2:21" s="21" customFormat="1" ht="60" customHeight="1" x14ac:dyDescent="0.2">
      <c r="B24" s="17"/>
      <c r="C24" s="29">
        <v>9</v>
      </c>
      <c r="D24" s="263" t="s">
        <v>315</v>
      </c>
      <c r="E24" s="264"/>
      <c r="F24" s="264"/>
      <c r="G24" s="264"/>
      <c r="H24" s="264"/>
      <c r="I24" s="264"/>
      <c r="J24" s="265"/>
      <c r="K24" s="235" t="s">
        <v>371</v>
      </c>
      <c r="L24" s="10"/>
      <c r="M24" s="232" t="s">
        <v>402</v>
      </c>
      <c r="N24" s="27"/>
      <c r="O24" s="230"/>
      <c r="P24" s="27"/>
      <c r="Q24" s="229" t="s">
        <v>410</v>
      </c>
      <c r="R24" s="20"/>
    </row>
    <row r="25" spans="2:21" s="21" customFormat="1" ht="60" customHeight="1" x14ac:dyDescent="0.2">
      <c r="B25" s="17"/>
      <c r="C25" s="29">
        <v>10</v>
      </c>
      <c r="D25" s="263" t="s">
        <v>316</v>
      </c>
      <c r="E25" s="264"/>
      <c r="F25" s="264"/>
      <c r="G25" s="264"/>
      <c r="H25" s="264"/>
      <c r="I25" s="264"/>
      <c r="J25" s="265"/>
      <c r="K25" s="235" t="s">
        <v>372</v>
      </c>
      <c r="L25" s="10"/>
      <c r="M25" s="232" t="s">
        <v>402</v>
      </c>
      <c r="N25" s="27"/>
      <c r="O25" s="230"/>
      <c r="P25" s="27"/>
      <c r="Q25" s="229"/>
      <c r="R25" s="20"/>
    </row>
    <row r="26" spans="2:21" s="21" customFormat="1" ht="60" customHeight="1" x14ac:dyDescent="0.2">
      <c r="B26" s="17"/>
      <c r="C26" s="29">
        <v>11</v>
      </c>
      <c r="D26" s="263" t="s">
        <v>317</v>
      </c>
      <c r="E26" s="264"/>
      <c r="F26" s="264"/>
      <c r="G26" s="264"/>
      <c r="H26" s="264"/>
      <c r="I26" s="264"/>
      <c r="J26" s="265"/>
      <c r="K26" s="235" t="s">
        <v>373</v>
      </c>
      <c r="L26" s="10"/>
      <c r="M26" s="232" t="s">
        <v>402</v>
      </c>
      <c r="N26" s="27"/>
      <c r="O26" s="230"/>
      <c r="P26" s="27"/>
      <c r="Q26" s="229"/>
      <c r="R26" s="20"/>
    </row>
    <row r="27" spans="2:21" s="21" customFormat="1" ht="15.75" x14ac:dyDescent="0.25">
      <c r="B27" s="17"/>
      <c r="C27" s="10"/>
      <c r="D27" s="10"/>
      <c r="E27" s="10"/>
      <c r="F27" s="10"/>
      <c r="G27" s="10"/>
      <c r="H27" s="10"/>
      <c r="I27" s="10"/>
      <c r="J27" s="10"/>
      <c r="K27" s="10"/>
      <c r="L27" s="10"/>
      <c r="M27" s="13" t="str">
        <f>IF(OR(ROUND(SUM(M15:M26),3)=100%,SUM(M15:M26)=0),"","Section must sum to 100%")</f>
        <v>Section must sum to 100%</v>
      </c>
      <c r="N27" s="10"/>
      <c r="O27" s="10"/>
      <c r="P27" s="10"/>
      <c r="Q27" s="10"/>
      <c r="R27" s="20"/>
    </row>
    <row r="28" spans="2:21" s="21" customFormat="1" ht="15.75" x14ac:dyDescent="0.2">
      <c r="B28" s="17"/>
      <c r="C28" s="266" t="s">
        <v>348</v>
      </c>
      <c r="D28" s="266"/>
      <c r="E28" s="266"/>
      <c r="F28" s="266"/>
      <c r="G28" s="266"/>
      <c r="H28" s="266"/>
      <c r="I28" s="266"/>
      <c r="J28" s="266"/>
      <c r="K28" s="266"/>
      <c r="L28" s="266"/>
      <c r="M28" s="266"/>
      <c r="N28" s="266"/>
      <c r="O28" s="266"/>
      <c r="P28" s="266"/>
      <c r="Q28" s="266"/>
      <c r="R28" s="20"/>
    </row>
    <row r="29" spans="2:21" s="21" customFormat="1" ht="4.1500000000000004" customHeight="1" x14ac:dyDescent="0.2">
      <c r="B29" s="17"/>
      <c r="C29" s="10"/>
      <c r="D29" s="10"/>
      <c r="E29" s="10"/>
      <c r="F29" s="11"/>
      <c r="G29" s="11"/>
      <c r="H29" s="11"/>
      <c r="I29" s="11"/>
      <c r="J29" s="11"/>
      <c r="K29" s="11"/>
      <c r="L29" s="11"/>
      <c r="M29" s="11"/>
      <c r="N29" s="11"/>
      <c r="O29" s="11"/>
      <c r="P29" s="11"/>
      <c r="Q29" s="11"/>
      <c r="R29" s="20"/>
    </row>
    <row r="30" spans="2:21" s="21" customFormat="1" ht="60" customHeight="1" x14ac:dyDescent="0.2">
      <c r="B30" s="17"/>
      <c r="C30" s="29">
        <v>12</v>
      </c>
      <c r="D30" s="263" t="s">
        <v>318</v>
      </c>
      <c r="E30" s="264"/>
      <c r="F30" s="264"/>
      <c r="G30" s="264"/>
      <c r="H30" s="264"/>
      <c r="I30" s="264"/>
      <c r="J30" s="265"/>
      <c r="K30" s="235" t="s">
        <v>374</v>
      </c>
      <c r="L30" s="10"/>
      <c r="M30" s="48" t="s">
        <v>402</v>
      </c>
      <c r="N30" s="27"/>
      <c r="O30" s="230"/>
      <c r="P30" s="27"/>
      <c r="Q30" s="229"/>
      <c r="R30" s="20"/>
    </row>
    <row r="31" spans="2:21" s="21" customFormat="1" ht="60" customHeight="1" x14ac:dyDescent="0.2">
      <c r="B31" s="17"/>
      <c r="C31" s="29">
        <v>13</v>
      </c>
      <c r="D31" s="263" t="s">
        <v>319</v>
      </c>
      <c r="E31" s="264"/>
      <c r="F31" s="264"/>
      <c r="G31" s="264"/>
      <c r="H31" s="264"/>
      <c r="I31" s="264"/>
      <c r="J31" s="265"/>
      <c r="K31" s="235" t="s">
        <v>375</v>
      </c>
      <c r="L31" s="10"/>
      <c r="M31" s="48" t="s">
        <v>402</v>
      </c>
      <c r="N31" s="27"/>
      <c r="O31" s="230"/>
      <c r="P31" s="27"/>
      <c r="Q31" s="229"/>
      <c r="R31" s="20"/>
    </row>
    <row r="32" spans="2:21" s="21" customFormat="1" ht="60" customHeight="1" x14ac:dyDescent="0.2">
      <c r="B32" s="17"/>
      <c r="C32" s="29">
        <v>14</v>
      </c>
      <c r="D32" s="263" t="s">
        <v>321</v>
      </c>
      <c r="E32" s="264"/>
      <c r="F32" s="264"/>
      <c r="G32" s="264"/>
      <c r="H32" s="264"/>
      <c r="I32" s="264"/>
      <c r="J32" s="265"/>
      <c r="K32" s="235" t="s">
        <v>376</v>
      </c>
      <c r="L32" s="10"/>
      <c r="M32" s="48" t="s">
        <v>402</v>
      </c>
      <c r="N32" s="27"/>
      <c r="O32" s="230"/>
      <c r="P32" s="27"/>
      <c r="Q32" s="229"/>
      <c r="R32" s="20"/>
    </row>
    <row r="33" spans="2:21" s="21" customFormat="1" ht="60" customHeight="1" x14ac:dyDescent="0.2">
      <c r="B33" s="17"/>
      <c r="C33" s="29">
        <v>15</v>
      </c>
      <c r="D33" s="267" t="s">
        <v>354</v>
      </c>
      <c r="E33" s="268"/>
      <c r="F33" s="268"/>
      <c r="G33" s="268"/>
      <c r="H33" s="268"/>
      <c r="I33" s="268"/>
      <c r="J33" s="269"/>
      <c r="K33" s="235" t="s">
        <v>377</v>
      </c>
      <c r="L33" s="10"/>
      <c r="M33" s="232" t="s">
        <v>403</v>
      </c>
      <c r="N33" s="27"/>
      <c r="O33" s="230"/>
      <c r="P33" s="27"/>
      <c r="Q33" s="229"/>
      <c r="R33" s="20"/>
      <c r="T33" s="28"/>
      <c r="U33" s="28"/>
    </row>
    <row r="34" spans="2:21" s="21" customFormat="1" ht="60" customHeight="1" x14ac:dyDescent="0.2">
      <c r="B34" s="17"/>
      <c r="C34" s="29">
        <v>16</v>
      </c>
      <c r="D34" s="263" t="s">
        <v>357</v>
      </c>
      <c r="E34" s="264"/>
      <c r="F34" s="264"/>
      <c r="G34" s="264"/>
      <c r="H34" s="264"/>
      <c r="I34" s="264"/>
      <c r="J34" s="265"/>
      <c r="K34" s="235" t="s">
        <v>378</v>
      </c>
      <c r="L34" s="10"/>
      <c r="M34" s="48" t="s">
        <v>402</v>
      </c>
      <c r="N34" s="27"/>
      <c r="O34" s="230"/>
      <c r="P34" s="27"/>
      <c r="Q34" s="229"/>
      <c r="R34" s="20"/>
      <c r="T34" s="28"/>
      <c r="U34" s="28"/>
    </row>
    <row r="35" spans="2:21" s="21" customFormat="1" ht="60" customHeight="1" x14ac:dyDescent="0.2">
      <c r="B35" s="17"/>
      <c r="C35" s="29">
        <v>17</v>
      </c>
      <c r="D35" s="263" t="s">
        <v>359</v>
      </c>
      <c r="E35" s="264"/>
      <c r="F35" s="264"/>
      <c r="G35" s="264"/>
      <c r="H35" s="264"/>
      <c r="I35" s="264"/>
      <c r="J35" s="265"/>
      <c r="K35" s="235" t="s">
        <v>379</v>
      </c>
      <c r="L35" s="10"/>
      <c r="M35" s="48" t="s">
        <v>402</v>
      </c>
      <c r="N35" s="27"/>
      <c r="O35" s="230"/>
      <c r="P35" s="27"/>
      <c r="Q35" s="229"/>
      <c r="R35" s="20"/>
      <c r="T35" s="28"/>
      <c r="U35" s="28"/>
    </row>
    <row r="36" spans="2:21" s="21" customFormat="1" ht="15.75" x14ac:dyDescent="0.25">
      <c r="B36" s="17"/>
      <c r="C36" s="10"/>
      <c r="D36" s="10"/>
      <c r="E36" s="10"/>
      <c r="F36" s="10"/>
      <c r="G36" s="10"/>
      <c r="H36" s="10"/>
      <c r="I36" s="10"/>
      <c r="J36" s="10"/>
      <c r="K36" s="10"/>
      <c r="L36" s="10"/>
      <c r="M36" s="13" t="str">
        <f>IF(OR(ROUND(SUM(M27:M33),3)=100%,SUM(M27:M33)=0),"","Section must sum to 100%")</f>
        <v/>
      </c>
      <c r="N36" s="10"/>
      <c r="O36" s="10"/>
      <c r="P36" s="10"/>
      <c r="Q36" s="10"/>
      <c r="R36" s="20"/>
    </row>
    <row r="37" spans="2:21" s="21" customFormat="1" ht="15.75" x14ac:dyDescent="0.2">
      <c r="B37" s="17"/>
      <c r="C37" s="266" t="s">
        <v>349</v>
      </c>
      <c r="D37" s="266"/>
      <c r="E37" s="266"/>
      <c r="F37" s="266"/>
      <c r="G37" s="266"/>
      <c r="H37" s="266"/>
      <c r="I37" s="266"/>
      <c r="J37" s="266"/>
      <c r="K37" s="266"/>
      <c r="L37" s="266"/>
      <c r="M37" s="266"/>
      <c r="N37" s="266"/>
      <c r="O37" s="266"/>
      <c r="P37" s="266"/>
      <c r="Q37" s="266"/>
      <c r="R37" s="20"/>
    </row>
    <row r="38" spans="2:21" s="21" customFormat="1" ht="4.1500000000000004" customHeight="1" x14ac:dyDescent="0.2">
      <c r="B38" s="17"/>
      <c r="C38" s="10"/>
      <c r="D38" s="10"/>
      <c r="E38" s="10"/>
      <c r="F38" s="11"/>
      <c r="G38" s="11"/>
      <c r="H38" s="11"/>
      <c r="I38" s="11"/>
      <c r="J38" s="11"/>
      <c r="K38" s="11"/>
      <c r="L38" s="11"/>
      <c r="M38" s="11"/>
      <c r="N38" s="11"/>
      <c r="O38" s="11"/>
      <c r="P38" s="11"/>
      <c r="Q38" s="11"/>
      <c r="R38" s="20"/>
    </row>
    <row r="39" spans="2:21" s="21" customFormat="1" ht="60" customHeight="1" x14ac:dyDescent="0.2">
      <c r="B39" s="17"/>
      <c r="C39" s="29">
        <v>18</v>
      </c>
      <c r="D39" s="263" t="s">
        <v>322</v>
      </c>
      <c r="E39" s="264"/>
      <c r="F39" s="264"/>
      <c r="G39" s="264"/>
      <c r="H39" s="264"/>
      <c r="I39" s="264"/>
      <c r="J39" s="265"/>
      <c r="K39" s="235" t="s">
        <v>380</v>
      </c>
      <c r="L39" s="10"/>
      <c r="M39" s="48" t="s">
        <v>402</v>
      </c>
      <c r="N39" s="27"/>
      <c r="O39" s="230"/>
      <c r="P39" s="27"/>
      <c r="Q39" s="229"/>
      <c r="R39" s="20"/>
    </row>
    <row r="40" spans="2:21" s="21" customFormat="1" ht="60" customHeight="1" x14ac:dyDescent="0.2">
      <c r="B40" s="17"/>
      <c r="C40" s="29">
        <v>19</v>
      </c>
      <c r="D40" s="263" t="s">
        <v>323</v>
      </c>
      <c r="E40" s="264"/>
      <c r="F40" s="264"/>
      <c r="G40" s="264"/>
      <c r="H40" s="264"/>
      <c r="I40" s="264"/>
      <c r="J40" s="265"/>
      <c r="K40" s="235" t="s">
        <v>381</v>
      </c>
      <c r="L40" s="10"/>
      <c r="M40" s="48" t="s">
        <v>402</v>
      </c>
      <c r="N40" s="27"/>
      <c r="O40" s="230"/>
      <c r="P40" s="27"/>
      <c r="Q40" s="229"/>
      <c r="R40" s="20"/>
    </row>
    <row r="41" spans="2:21" s="21" customFormat="1" ht="60" customHeight="1" x14ac:dyDescent="0.2">
      <c r="B41" s="17"/>
      <c r="C41" s="29">
        <v>20</v>
      </c>
      <c r="D41" s="263" t="s">
        <v>324</v>
      </c>
      <c r="E41" s="264"/>
      <c r="F41" s="264"/>
      <c r="G41" s="264"/>
      <c r="H41" s="264"/>
      <c r="I41" s="264"/>
      <c r="J41" s="265"/>
      <c r="K41" s="235" t="s">
        <v>382</v>
      </c>
      <c r="L41" s="10"/>
      <c r="M41" s="48" t="s">
        <v>402</v>
      </c>
      <c r="N41" s="27"/>
      <c r="O41" s="230"/>
      <c r="P41" s="27"/>
      <c r="Q41" s="229"/>
      <c r="R41" s="20"/>
    </row>
    <row r="42" spans="2:21" s="21" customFormat="1" ht="60" customHeight="1" x14ac:dyDescent="0.2">
      <c r="B42" s="17"/>
      <c r="C42" s="29">
        <v>21</v>
      </c>
      <c r="D42" s="270" t="s">
        <v>325</v>
      </c>
      <c r="E42" s="271"/>
      <c r="F42" s="271"/>
      <c r="G42" s="271"/>
      <c r="H42" s="271"/>
      <c r="I42" s="271"/>
      <c r="J42" s="272"/>
      <c r="K42" s="235" t="s">
        <v>383</v>
      </c>
      <c r="L42" s="10"/>
      <c r="M42" s="48" t="s">
        <v>402</v>
      </c>
      <c r="N42" s="27"/>
      <c r="O42" s="230"/>
      <c r="P42" s="27"/>
      <c r="Q42" s="229"/>
      <c r="R42" s="20"/>
      <c r="T42" s="28"/>
      <c r="U42" s="28"/>
    </row>
    <row r="43" spans="2:21" s="21" customFormat="1" ht="60" customHeight="1" x14ac:dyDescent="0.2">
      <c r="B43" s="17"/>
      <c r="C43" s="29">
        <v>22</v>
      </c>
      <c r="D43" s="270" t="s">
        <v>326</v>
      </c>
      <c r="E43" s="271"/>
      <c r="F43" s="271"/>
      <c r="G43" s="271"/>
      <c r="H43" s="271"/>
      <c r="I43" s="271"/>
      <c r="J43" s="272"/>
      <c r="K43" s="235" t="s">
        <v>384</v>
      </c>
      <c r="L43" s="10"/>
      <c r="M43" s="48" t="s">
        <v>402</v>
      </c>
      <c r="N43" s="27"/>
      <c r="O43" s="230"/>
      <c r="P43" s="27"/>
      <c r="Q43" s="229"/>
      <c r="R43" s="20"/>
    </row>
    <row r="44" spans="2:21" s="21" customFormat="1" ht="15.75" x14ac:dyDescent="0.25">
      <c r="B44" s="17"/>
      <c r="C44" s="10"/>
      <c r="D44" s="10"/>
      <c r="E44" s="10"/>
      <c r="F44" s="10"/>
      <c r="G44" s="10"/>
      <c r="H44" s="10"/>
      <c r="I44" s="10"/>
      <c r="J44" s="10"/>
      <c r="K44" s="10"/>
      <c r="L44" s="10"/>
      <c r="M44" s="13" t="str">
        <f>IF(OR(ROUND(SUM(M37:M43),3)=100%,SUM(M37:M43)=0),"","Section must sum to 100%")</f>
        <v/>
      </c>
      <c r="N44" s="10"/>
      <c r="O44" s="10"/>
      <c r="P44" s="10"/>
      <c r="Q44" s="10"/>
      <c r="R44" s="20"/>
    </row>
    <row r="45" spans="2:21" s="21" customFormat="1" ht="15.75" x14ac:dyDescent="0.2">
      <c r="B45" s="17"/>
      <c r="C45" s="266" t="s">
        <v>327</v>
      </c>
      <c r="D45" s="266"/>
      <c r="E45" s="266"/>
      <c r="F45" s="266"/>
      <c r="G45" s="266"/>
      <c r="H45" s="266"/>
      <c r="I45" s="266"/>
      <c r="J45" s="266"/>
      <c r="K45" s="266"/>
      <c r="L45" s="266"/>
      <c r="M45" s="266"/>
      <c r="N45" s="266"/>
      <c r="O45" s="266"/>
      <c r="P45" s="266"/>
      <c r="Q45" s="266"/>
      <c r="R45" s="20"/>
    </row>
    <row r="46" spans="2:21" s="21" customFormat="1" ht="4.1500000000000004" customHeight="1" x14ac:dyDescent="0.2">
      <c r="B46" s="17"/>
      <c r="C46" s="10"/>
      <c r="D46" s="10"/>
      <c r="E46" s="10"/>
      <c r="F46" s="11"/>
      <c r="G46" s="11"/>
      <c r="H46" s="11"/>
      <c r="I46" s="11"/>
      <c r="J46" s="11"/>
      <c r="K46" s="11"/>
      <c r="L46" s="11"/>
      <c r="M46" s="11"/>
      <c r="N46" s="11"/>
      <c r="O46" s="11"/>
      <c r="P46" s="11"/>
      <c r="Q46" s="11"/>
      <c r="R46" s="20"/>
    </row>
    <row r="47" spans="2:21" s="21" customFormat="1" ht="60" customHeight="1" x14ac:dyDescent="0.2">
      <c r="B47" s="17"/>
      <c r="C47" s="29">
        <v>23</v>
      </c>
      <c r="D47" s="263" t="s">
        <v>338</v>
      </c>
      <c r="E47" s="264"/>
      <c r="F47" s="264"/>
      <c r="G47" s="264"/>
      <c r="H47" s="264"/>
      <c r="I47" s="264"/>
      <c r="J47" s="265"/>
      <c r="K47" s="235" t="s">
        <v>385</v>
      </c>
      <c r="L47" s="10"/>
      <c r="M47" s="48" t="s">
        <v>402</v>
      </c>
      <c r="N47" s="27"/>
      <c r="O47" s="230"/>
      <c r="P47" s="27"/>
      <c r="Q47" s="229"/>
      <c r="R47" s="20"/>
    </row>
    <row r="48" spans="2:21" s="21" customFormat="1" ht="60" customHeight="1" x14ac:dyDescent="0.2">
      <c r="B48" s="17"/>
      <c r="C48" s="29">
        <v>24</v>
      </c>
      <c r="D48" s="263" t="s">
        <v>180</v>
      </c>
      <c r="E48" s="264"/>
      <c r="F48" s="264"/>
      <c r="G48" s="264"/>
      <c r="H48" s="264"/>
      <c r="I48" s="264"/>
      <c r="J48" s="265"/>
      <c r="K48" s="235" t="s">
        <v>386</v>
      </c>
      <c r="L48" s="10"/>
      <c r="M48" s="48" t="s">
        <v>402</v>
      </c>
      <c r="N48" s="27"/>
      <c r="O48" s="230"/>
      <c r="P48" s="27"/>
      <c r="Q48" s="229"/>
      <c r="R48" s="20"/>
    </row>
    <row r="49" spans="2:21" s="21" customFormat="1" ht="60" customHeight="1" x14ac:dyDescent="0.2">
      <c r="B49" s="17"/>
      <c r="C49" s="29">
        <v>25</v>
      </c>
      <c r="D49" s="263" t="s">
        <v>328</v>
      </c>
      <c r="E49" s="264"/>
      <c r="F49" s="264"/>
      <c r="G49" s="264"/>
      <c r="H49" s="264"/>
      <c r="I49" s="264"/>
      <c r="J49" s="265"/>
      <c r="K49" s="235" t="s">
        <v>387</v>
      </c>
      <c r="L49" s="10"/>
      <c r="M49" s="48" t="s">
        <v>402</v>
      </c>
      <c r="N49" s="27"/>
      <c r="O49" s="230"/>
      <c r="P49" s="27"/>
      <c r="Q49" s="229" t="s">
        <v>404</v>
      </c>
      <c r="R49" s="20"/>
    </row>
    <row r="50" spans="2:21" s="21" customFormat="1" ht="15.75" x14ac:dyDescent="0.25">
      <c r="B50" s="17"/>
      <c r="C50" s="10"/>
      <c r="D50" s="10"/>
      <c r="E50" s="10"/>
      <c r="F50" s="10"/>
      <c r="G50" s="10"/>
      <c r="H50" s="10"/>
      <c r="I50" s="10"/>
      <c r="J50" s="10"/>
      <c r="K50" s="10"/>
      <c r="L50" s="10"/>
      <c r="M50" s="13" t="str">
        <f>IF(OR(ROUND(SUM(M43:M49),3)=100%,SUM(M43:M49)=0),"","Section must sum to 100%")</f>
        <v/>
      </c>
      <c r="N50" s="10"/>
      <c r="O50" s="10"/>
      <c r="P50" s="10"/>
      <c r="Q50" s="10"/>
      <c r="R50" s="20"/>
    </row>
    <row r="51" spans="2:21" s="21" customFormat="1" ht="15.75" x14ac:dyDescent="0.2">
      <c r="B51" s="17"/>
      <c r="C51" s="266" t="s">
        <v>350</v>
      </c>
      <c r="D51" s="266"/>
      <c r="E51" s="266"/>
      <c r="F51" s="266"/>
      <c r="G51" s="266"/>
      <c r="H51" s="266"/>
      <c r="I51" s="266"/>
      <c r="J51" s="266"/>
      <c r="K51" s="266"/>
      <c r="L51" s="266"/>
      <c r="M51" s="266"/>
      <c r="N51" s="266"/>
      <c r="O51" s="266"/>
      <c r="P51" s="266"/>
      <c r="Q51" s="266"/>
      <c r="R51" s="20"/>
    </row>
    <row r="52" spans="2:21" s="21" customFormat="1" ht="4.1500000000000004" customHeight="1" x14ac:dyDescent="0.2">
      <c r="B52" s="17"/>
      <c r="C52" s="10"/>
      <c r="D52" s="10"/>
      <c r="E52" s="10"/>
      <c r="F52" s="11"/>
      <c r="G52" s="11"/>
      <c r="H52" s="11"/>
      <c r="I52" s="11"/>
      <c r="J52" s="11"/>
      <c r="K52" s="11"/>
      <c r="L52" s="11"/>
      <c r="M52" s="11"/>
      <c r="N52" s="11"/>
      <c r="O52" s="11"/>
      <c r="P52" s="11"/>
      <c r="Q52" s="11"/>
      <c r="R52" s="20"/>
    </row>
    <row r="53" spans="2:21" s="21" customFormat="1" ht="60" customHeight="1" x14ac:dyDescent="0.2">
      <c r="B53" s="17"/>
      <c r="C53" s="29">
        <v>26</v>
      </c>
      <c r="D53" s="263" t="s">
        <v>329</v>
      </c>
      <c r="E53" s="264"/>
      <c r="F53" s="264"/>
      <c r="G53" s="264"/>
      <c r="H53" s="264"/>
      <c r="I53" s="264"/>
      <c r="J53" s="265"/>
      <c r="K53" s="235" t="s">
        <v>388</v>
      </c>
      <c r="L53" s="10"/>
      <c r="M53" s="48" t="s">
        <v>402</v>
      </c>
      <c r="N53" s="27"/>
      <c r="O53" s="230"/>
      <c r="P53" s="27"/>
      <c r="Q53" s="229"/>
      <c r="R53" s="20"/>
    </row>
    <row r="54" spans="2:21" s="21" customFormat="1" ht="60" customHeight="1" x14ac:dyDescent="0.2">
      <c r="B54" s="17"/>
      <c r="C54" s="29">
        <v>27</v>
      </c>
      <c r="D54" s="263" t="s">
        <v>330</v>
      </c>
      <c r="E54" s="264"/>
      <c r="F54" s="264"/>
      <c r="G54" s="264"/>
      <c r="H54" s="264"/>
      <c r="I54" s="264"/>
      <c r="J54" s="265"/>
      <c r="K54" s="235" t="s">
        <v>389</v>
      </c>
      <c r="L54" s="10"/>
      <c r="M54" s="48" t="s">
        <v>402</v>
      </c>
      <c r="N54" s="27"/>
      <c r="O54" s="230"/>
      <c r="P54" s="27"/>
      <c r="Q54" s="229"/>
      <c r="R54" s="20"/>
      <c r="T54" s="28"/>
      <c r="U54" s="28"/>
    </row>
    <row r="55" spans="2:21" s="21" customFormat="1" ht="60" customHeight="1" x14ac:dyDescent="0.2">
      <c r="B55" s="17"/>
      <c r="C55" s="29">
        <v>28</v>
      </c>
      <c r="D55" s="263" t="s">
        <v>339</v>
      </c>
      <c r="E55" s="264"/>
      <c r="F55" s="264"/>
      <c r="G55" s="264"/>
      <c r="H55" s="264"/>
      <c r="I55" s="264"/>
      <c r="J55" s="265"/>
      <c r="K55" s="235" t="s">
        <v>390</v>
      </c>
      <c r="L55" s="10"/>
      <c r="M55" s="48" t="s">
        <v>402</v>
      </c>
      <c r="N55" s="27"/>
      <c r="O55" s="230"/>
      <c r="P55" s="27"/>
      <c r="Q55" s="229" t="s">
        <v>405</v>
      </c>
      <c r="R55" s="20"/>
      <c r="T55" s="28"/>
      <c r="U55" s="28"/>
    </row>
    <row r="56" spans="2:21" s="21" customFormat="1" ht="60" customHeight="1" x14ac:dyDescent="0.2">
      <c r="B56" s="17"/>
      <c r="C56" s="29">
        <v>29</v>
      </c>
      <c r="D56" s="263" t="s">
        <v>340</v>
      </c>
      <c r="E56" s="264"/>
      <c r="F56" s="264"/>
      <c r="G56" s="264"/>
      <c r="H56" s="264"/>
      <c r="I56" s="264"/>
      <c r="J56" s="265"/>
      <c r="K56" s="235" t="s">
        <v>391</v>
      </c>
      <c r="L56" s="10"/>
      <c r="M56" s="48" t="s">
        <v>402</v>
      </c>
      <c r="N56" s="27"/>
      <c r="O56" s="230"/>
      <c r="P56" s="27"/>
      <c r="Q56" s="229" t="s">
        <v>411</v>
      </c>
      <c r="R56" s="20"/>
      <c r="T56" s="28"/>
      <c r="U56" s="28"/>
    </row>
    <row r="57" spans="2:21" s="21" customFormat="1" ht="60" customHeight="1" x14ac:dyDescent="0.2">
      <c r="B57" s="17"/>
      <c r="C57" s="29">
        <v>30</v>
      </c>
      <c r="D57" s="263" t="s">
        <v>358</v>
      </c>
      <c r="E57" s="264"/>
      <c r="F57" s="264"/>
      <c r="G57" s="264"/>
      <c r="H57" s="264"/>
      <c r="I57" s="264"/>
      <c r="J57" s="265"/>
      <c r="K57" s="235" t="s">
        <v>392</v>
      </c>
      <c r="L57" s="10"/>
      <c r="M57" s="48" t="s">
        <v>402</v>
      </c>
      <c r="N57" s="27"/>
      <c r="O57" s="230"/>
      <c r="P57" s="27"/>
      <c r="Q57" s="229" t="s">
        <v>412</v>
      </c>
      <c r="R57" s="20"/>
    </row>
    <row r="58" spans="2:21" s="21" customFormat="1" ht="60" customHeight="1" x14ac:dyDescent="0.2">
      <c r="B58" s="17"/>
      <c r="C58" s="29">
        <v>31</v>
      </c>
      <c r="D58" s="263" t="s">
        <v>341</v>
      </c>
      <c r="E58" s="264"/>
      <c r="F58" s="264"/>
      <c r="G58" s="264"/>
      <c r="H58" s="264"/>
      <c r="I58" s="264"/>
      <c r="J58" s="265"/>
      <c r="K58" s="235" t="s">
        <v>393</v>
      </c>
      <c r="L58" s="10"/>
      <c r="M58" s="48" t="s">
        <v>402</v>
      </c>
      <c r="N58" s="27"/>
      <c r="O58" s="230"/>
      <c r="P58" s="27"/>
      <c r="Q58" s="229"/>
      <c r="R58" s="20"/>
    </row>
    <row r="59" spans="2:21" s="21" customFormat="1" ht="15.75" x14ac:dyDescent="0.25">
      <c r="B59" s="17"/>
      <c r="C59" s="10"/>
      <c r="D59" s="10"/>
      <c r="E59" s="10"/>
      <c r="F59" s="10"/>
      <c r="G59" s="10"/>
      <c r="H59" s="10"/>
      <c r="I59" s="10"/>
      <c r="J59" s="10"/>
      <c r="K59" s="10"/>
      <c r="L59" s="10"/>
      <c r="M59" s="13" t="str">
        <f>IF(OR(ROUND(SUM(M54:M58),3)=100%,SUM(M54:M58)=0),"","Section must sum to 100%")</f>
        <v/>
      </c>
      <c r="N59" s="10"/>
      <c r="O59" s="10"/>
      <c r="P59" s="10"/>
      <c r="Q59" s="10"/>
      <c r="R59" s="20"/>
    </row>
    <row r="60" spans="2:21" s="21" customFormat="1" ht="15.75" x14ac:dyDescent="0.2">
      <c r="B60" s="17"/>
      <c r="C60" s="266" t="s">
        <v>347</v>
      </c>
      <c r="D60" s="266"/>
      <c r="E60" s="266"/>
      <c r="F60" s="266"/>
      <c r="G60" s="266"/>
      <c r="H60" s="266"/>
      <c r="I60" s="266"/>
      <c r="J60" s="266"/>
      <c r="K60" s="266"/>
      <c r="L60" s="266"/>
      <c r="M60" s="266"/>
      <c r="N60" s="266"/>
      <c r="O60" s="266"/>
      <c r="P60" s="266"/>
      <c r="Q60" s="266"/>
      <c r="R60" s="20"/>
    </row>
    <row r="61" spans="2:21" s="21" customFormat="1" ht="4.1500000000000004" customHeight="1" x14ac:dyDescent="0.2">
      <c r="B61" s="17"/>
      <c r="C61" s="10"/>
      <c r="D61" s="10"/>
      <c r="E61" s="10"/>
      <c r="F61" s="11"/>
      <c r="G61" s="11"/>
      <c r="H61" s="11"/>
      <c r="I61" s="11"/>
      <c r="J61" s="11"/>
      <c r="K61" s="11"/>
      <c r="L61" s="11"/>
      <c r="M61" s="11"/>
      <c r="N61" s="11"/>
      <c r="O61" s="11"/>
      <c r="P61" s="11"/>
      <c r="Q61" s="11"/>
      <c r="R61" s="20"/>
    </row>
    <row r="62" spans="2:21" s="21" customFormat="1" ht="60" customHeight="1" x14ac:dyDescent="0.2">
      <c r="B62" s="17"/>
      <c r="C62" s="29">
        <v>32</v>
      </c>
      <c r="D62" s="263" t="s">
        <v>342</v>
      </c>
      <c r="E62" s="264"/>
      <c r="F62" s="264"/>
      <c r="G62" s="264"/>
      <c r="H62" s="264"/>
      <c r="I62" s="264"/>
      <c r="J62" s="265"/>
      <c r="K62" s="235" t="s">
        <v>394</v>
      </c>
      <c r="L62" s="10"/>
      <c r="M62" s="48" t="s">
        <v>402</v>
      </c>
      <c r="N62" s="27"/>
      <c r="O62" s="230"/>
      <c r="P62" s="27"/>
      <c r="Q62" s="229"/>
      <c r="R62" s="20"/>
    </row>
    <row r="63" spans="2:21" s="21" customFormat="1" ht="60" customHeight="1" x14ac:dyDescent="0.2">
      <c r="B63" s="17"/>
      <c r="C63" s="29">
        <v>33</v>
      </c>
      <c r="D63" s="263" t="s">
        <v>331</v>
      </c>
      <c r="E63" s="264"/>
      <c r="F63" s="264"/>
      <c r="G63" s="264"/>
      <c r="H63" s="264"/>
      <c r="I63" s="264"/>
      <c r="J63" s="265"/>
      <c r="K63" s="235" t="s">
        <v>395</v>
      </c>
      <c r="L63" s="10"/>
      <c r="M63" s="48" t="s">
        <v>402</v>
      </c>
      <c r="N63" s="27"/>
      <c r="O63" s="230"/>
      <c r="P63" s="27"/>
      <c r="Q63" s="229"/>
      <c r="R63" s="20"/>
    </row>
    <row r="64" spans="2:21" s="21" customFormat="1" ht="60" customHeight="1" x14ac:dyDescent="0.2">
      <c r="B64" s="17"/>
      <c r="C64" s="29">
        <v>34</v>
      </c>
      <c r="D64" s="263" t="s">
        <v>181</v>
      </c>
      <c r="E64" s="264"/>
      <c r="F64" s="264"/>
      <c r="G64" s="264"/>
      <c r="H64" s="264"/>
      <c r="I64" s="264"/>
      <c r="J64" s="265"/>
      <c r="K64" s="235" t="s">
        <v>396</v>
      </c>
      <c r="L64" s="10"/>
      <c r="M64" s="48" t="s">
        <v>402</v>
      </c>
      <c r="N64" s="27"/>
      <c r="O64" s="230"/>
      <c r="P64" s="27"/>
      <c r="Q64" s="229"/>
      <c r="R64" s="20"/>
      <c r="T64" s="28"/>
      <c r="U64" s="28"/>
    </row>
    <row r="65" spans="1:21" s="21" customFormat="1" ht="60" customHeight="1" x14ac:dyDescent="0.2">
      <c r="B65" s="17"/>
      <c r="C65" s="29">
        <v>35</v>
      </c>
      <c r="D65" s="263" t="s">
        <v>344</v>
      </c>
      <c r="E65" s="264"/>
      <c r="F65" s="264"/>
      <c r="G65" s="264"/>
      <c r="H65" s="264"/>
      <c r="I65" s="264"/>
      <c r="J65" s="265"/>
      <c r="K65" s="235" t="s">
        <v>397</v>
      </c>
      <c r="L65" s="10"/>
      <c r="M65" s="48" t="s">
        <v>402</v>
      </c>
      <c r="N65" s="27"/>
      <c r="O65" s="230"/>
      <c r="P65" s="27"/>
      <c r="Q65" s="229"/>
      <c r="R65" s="20"/>
    </row>
    <row r="66" spans="1:21" s="21" customFormat="1" ht="60" customHeight="1" x14ac:dyDescent="0.2">
      <c r="B66" s="17"/>
      <c r="C66" s="29">
        <v>36</v>
      </c>
      <c r="D66" s="263" t="s">
        <v>343</v>
      </c>
      <c r="E66" s="264"/>
      <c r="F66" s="264"/>
      <c r="G66" s="264"/>
      <c r="H66" s="264"/>
      <c r="I66" s="264"/>
      <c r="J66" s="265"/>
      <c r="K66" s="235" t="s">
        <v>398</v>
      </c>
      <c r="L66" s="10"/>
      <c r="M66" s="48" t="s">
        <v>402</v>
      </c>
      <c r="N66" s="27"/>
      <c r="O66" s="230"/>
      <c r="P66" s="27"/>
      <c r="Q66" s="229"/>
      <c r="R66" s="20"/>
    </row>
    <row r="67" spans="1:21" s="21" customFormat="1" ht="15.75" x14ac:dyDescent="0.25">
      <c r="B67" s="17"/>
      <c r="C67" s="10"/>
      <c r="D67" s="10"/>
      <c r="E67" s="10"/>
      <c r="F67" s="10"/>
      <c r="G67" s="10"/>
      <c r="H67" s="10"/>
      <c r="I67" s="10"/>
      <c r="J67" s="10"/>
      <c r="K67" s="10"/>
      <c r="L67" s="10"/>
      <c r="M67" s="13" t="str">
        <f>IF(OR(ROUND(SUM(M63:M66),3)=100%,SUM(M63:M66)=0),"","Section must sum to 100%")</f>
        <v/>
      </c>
      <c r="N67" s="10"/>
      <c r="O67" s="10"/>
      <c r="P67" s="10"/>
      <c r="Q67" s="10"/>
      <c r="R67" s="20"/>
    </row>
    <row r="68" spans="1:21" s="21" customFormat="1" ht="15.75" x14ac:dyDescent="0.2">
      <c r="B68" s="17"/>
      <c r="C68" s="266" t="s">
        <v>182</v>
      </c>
      <c r="D68" s="266"/>
      <c r="E68" s="266"/>
      <c r="F68" s="266"/>
      <c r="G68" s="266"/>
      <c r="H68" s="266"/>
      <c r="I68" s="266"/>
      <c r="J68" s="266"/>
      <c r="K68" s="266"/>
      <c r="L68" s="266"/>
      <c r="M68" s="266"/>
      <c r="N68" s="266"/>
      <c r="O68" s="266"/>
      <c r="P68" s="266"/>
      <c r="Q68" s="266"/>
      <c r="R68" s="20"/>
    </row>
    <row r="69" spans="1:21" s="21" customFormat="1" ht="4.1500000000000004" customHeight="1" x14ac:dyDescent="0.2">
      <c r="B69" s="17"/>
      <c r="C69" s="10"/>
      <c r="D69" s="10"/>
      <c r="E69" s="10"/>
      <c r="F69" s="11"/>
      <c r="G69" s="11"/>
      <c r="H69" s="11"/>
      <c r="I69" s="11"/>
      <c r="J69" s="11"/>
      <c r="K69" s="11"/>
      <c r="L69" s="11"/>
      <c r="M69" s="11"/>
      <c r="N69" s="11"/>
      <c r="O69" s="11"/>
      <c r="P69" s="11"/>
      <c r="Q69" s="11"/>
      <c r="R69" s="20"/>
    </row>
    <row r="70" spans="1:21" s="21" customFormat="1" ht="60" customHeight="1" x14ac:dyDescent="0.2">
      <c r="B70" s="17"/>
      <c r="C70" s="29">
        <v>37</v>
      </c>
      <c r="D70" s="263" t="s">
        <v>360</v>
      </c>
      <c r="E70" s="264"/>
      <c r="F70" s="264"/>
      <c r="G70" s="264"/>
      <c r="H70" s="264"/>
      <c r="I70" s="264"/>
      <c r="J70" s="265"/>
      <c r="K70" s="235" t="s">
        <v>399</v>
      </c>
      <c r="L70" s="10"/>
      <c r="M70" s="48"/>
      <c r="N70" s="27"/>
      <c r="O70" s="230"/>
      <c r="P70" s="27"/>
      <c r="Q70" s="229"/>
      <c r="R70" s="20"/>
    </row>
    <row r="71" spans="1:21" s="21" customFormat="1" ht="15.4" customHeight="1" thickBot="1" x14ac:dyDescent="0.25">
      <c r="B71" s="30"/>
      <c r="C71" s="31"/>
      <c r="D71" s="31"/>
      <c r="E71" s="31"/>
      <c r="F71" s="31"/>
      <c r="G71" s="31"/>
      <c r="H71" s="31"/>
      <c r="I71" s="31"/>
      <c r="J71" s="31"/>
      <c r="K71" s="32"/>
      <c r="L71" s="33"/>
      <c r="M71" s="34"/>
      <c r="N71" s="35"/>
      <c r="O71" s="35"/>
      <c r="P71" s="35"/>
      <c r="Q71" s="36"/>
      <c r="R71" s="37"/>
    </row>
    <row r="72" spans="1:21" ht="39.4" customHeight="1" x14ac:dyDescent="0.2">
      <c r="A72" s="5"/>
      <c r="B72" s="5"/>
      <c r="C72" s="246"/>
      <c r="D72" s="246"/>
      <c r="E72" s="246"/>
      <c r="F72" s="246"/>
      <c r="G72" s="246"/>
      <c r="H72" s="246"/>
      <c r="I72" s="246"/>
      <c r="J72" s="246"/>
      <c r="K72" s="138"/>
      <c r="L72" s="5"/>
      <c r="M72" s="38"/>
      <c r="N72" s="39"/>
      <c r="O72" s="39"/>
      <c r="P72" s="39"/>
      <c r="Q72" s="40"/>
      <c r="R72" s="5"/>
      <c r="S72" s="5"/>
      <c r="T72" s="41"/>
      <c r="U72" s="41"/>
    </row>
    <row r="73" spans="1:21" ht="0" hidden="1" customHeight="1" x14ac:dyDescent="0.2"/>
    <row r="74" spans="1:21" ht="0" hidden="1" customHeight="1" x14ac:dyDescent="0.2"/>
    <row r="75" spans="1:21" ht="0" hidden="1" customHeight="1" x14ac:dyDescent="0.2"/>
    <row r="76" spans="1:21" ht="0" hidden="1" customHeight="1" x14ac:dyDescent="0.2"/>
    <row r="77" spans="1:21" ht="0" hidden="1" customHeight="1" x14ac:dyDescent="0.2"/>
    <row r="78" spans="1:21" ht="0" hidden="1" customHeight="1" x14ac:dyDescent="0.2"/>
    <row r="79" spans="1:21" ht="0" hidden="1" customHeight="1" x14ac:dyDescent="0.2"/>
    <row r="80" spans="1:21"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sheetData>
  <sheetProtection algorithmName="SHA-512" hashValue="wM9xhAgnSBrvcusS6QY/PidfYPpmWzqraRClgY2CxsOW7jEvlA4UmNqxuTw6j94xim2cAA7cG6VbuLzH5XBxAQ==" saltValue="vGUc6DX/gvh65yujw4nJ4g==" spinCount="100000" sheet="1" formatColumns="0" formatRows="0"/>
  <mergeCells count="52">
    <mergeCell ref="D22:J22"/>
    <mergeCell ref="D21:J21"/>
    <mergeCell ref="C3:Q3"/>
    <mergeCell ref="C5:Q5"/>
    <mergeCell ref="C6:Q6"/>
    <mergeCell ref="C7:Q7"/>
    <mergeCell ref="C9:F10"/>
    <mergeCell ref="G9:Q10"/>
    <mergeCell ref="D17:J17"/>
    <mergeCell ref="D18:J18"/>
    <mergeCell ref="D19:J19"/>
    <mergeCell ref="C13:Q13"/>
    <mergeCell ref="D15:J15"/>
    <mergeCell ref="D16:J16"/>
    <mergeCell ref="D20:J20"/>
    <mergeCell ref="D48:J48"/>
    <mergeCell ref="D42:J42"/>
    <mergeCell ref="D43:J43"/>
    <mergeCell ref="C45:Q45"/>
    <mergeCell ref="D47:J47"/>
    <mergeCell ref="D40:J40"/>
    <mergeCell ref="D26:J26"/>
    <mergeCell ref="C28:Q28"/>
    <mergeCell ref="D30:J30"/>
    <mergeCell ref="D33:J33"/>
    <mergeCell ref="D35:J35"/>
    <mergeCell ref="C37:Q37"/>
    <mergeCell ref="D39:J39"/>
    <mergeCell ref="D31:J31"/>
    <mergeCell ref="D32:J32"/>
    <mergeCell ref="D34:J34"/>
    <mergeCell ref="D70:J70"/>
    <mergeCell ref="C72:J72"/>
    <mergeCell ref="D64:J64"/>
    <mergeCell ref="D65:J65"/>
    <mergeCell ref="D66:J66"/>
    <mergeCell ref="D23:J23"/>
    <mergeCell ref="D24:J24"/>
    <mergeCell ref="C68:Q68"/>
    <mergeCell ref="D55:J55"/>
    <mergeCell ref="D57:J57"/>
    <mergeCell ref="C60:Q60"/>
    <mergeCell ref="D62:J62"/>
    <mergeCell ref="D63:J63"/>
    <mergeCell ref="D56:J56"/>
    <mergeCell ref="D58:J58"/>
    <mergeCell ref="D53:J53"/>
    <mergeCell ref="D54:J54"/>
    <mergeCell ref="C51:Q51"/>
    <mergeCell ref="D41:J41"/>
    <mergeCell ref="D25:J25"/>
    <mergeCell ref="D49:J49"/>
  </mergeCells>
  <dataValidations count="6">
    <dataValidation allowBlank="1" showInputMessage="1" showErrorMessage="1" prompt="Type comments, evidence, and proposed actions" sqref="Q70 Q39:Q43 Q47:Q49 Q30:Q35 Q15:Q26 Q53:Q58 Q62:Q66"/>
    <dataValidation type="list" allowBlank="1" showInputMessage="1" showErrorMessage="1" prompt="Select answer from list" sqref="M70 M39:M43 M47:M49 M22:M26 M62:M66 M53:M58 M15:M19 M30:M32 M34:M35">
      <formula1>"Yes,In part,No"</formula1>
    </dataValidation>
    <dataValidation type="list" allowBlank="1" showInputMessage="1" showErrorMessage="1" sqref="M71:M72">
      <formula1>$T$2:$V$2</formula1>
    </dataValidation>
    <dataValidation allowBlank="1" showInputMessage="1" showErrorMessage="1" prompt="Input number" sqref="M20"/>
    <dataValidation type="list" allowBlank="1" showInputMessage="1" showErrorMessage="1" prompt="Select answer from list" sqref="M21 M33">
      <formula1>"Yes,In part,No,Not applicable"</formula1>
    </dataValidation>
    <dataValidation allowBlank="1" showInputMessage="1" showErrorMessage="1" prompt="Enter target date" sqref="O15:O26 O30:O35 O39:O43 O47:O49 O53:O58 O62:O66 O70"/>
  </dataValidations>
  <hyperlinks>
    <hyperlink ref="C6:Q6" r:id="rId1" display="https://www.gov.uk/government/publications/school-resource-management-self-assessment-tool/checklist-support-notes"/>
    <hyperlink ref="K15" r:id="rId2" display="Link to guidance"/>
    <hyperlink ref="K16" r:id="rId3" display="Link to guidance"/>
    <hyperlink ref="K17" r:id="rId4" display="Link to guidance"/>
    <hyperlink ref="K18" r:id="rId5" display="Link to guidance"/>
    <hyperlink ref="K19" r:id="rId6" display="Link to guidance"/>
    <hyperlink ref="K20" r:id="rId7" display="Link to guidance"/>
    <hyperlink ref="K21" r:id="rId8" display="Link to guidance"/>
    <hyperlink ref="K22" r:id="rId9" display="Link to guidance"/>
    <hyperlink ref="K23" r:id="rId10" display="Link to guidance"/>
    <hyperlink ref="K24" r:id="rId11" display="Link to guidance"/>
    <hyperlink ref="K25" r:id="rId12" display="Link to guidance"/>
    <hyperlink ref="K26" r:id="rId13" display="Link to guidance"/>
    <hyperlink ref="K30" r:id="rId14" display="Link to guidance"/>
    <hyperlink ref="K31" r:id="rId15" display="Link to guidance"/>
    <hyperlink ref="K32" r:id="rId16" display="Link to guidance"/>
    <hyperlink ref="K33" r:id="rId17" display="Link to guidance"/>
    <hyperlink ref="K34" r:id="rId18" display="Link to guidance"/>
    <hyperlink ref="K35" r:id="rId19" display="Link to guidance"/>
    <hyperlink ref="K39" r:id="rId20" display="Link to guidance"/>
    <hyperlink ref="K40" r:id="rId21" display="Link to guidance"/>
    <hyperlink ref="K41" r:id="rId22" display="Link to guidance"/>
    <hyperlink ref="K42" r:id="rId23" display="Link to guidance"/>
    <hyperlink ref="K43" r:id="rId24" display="Link to guidance"/>
    <hyperlink ref="K47" r:id="rId25" display="Link to guidance"/>
    <hyperlink ref="K48" r:id="rId26" display="Link to guidance"/>
    <hyperlink ref="K49" r:id="rId27" display="Link to guidance"/>
    <hyperlink ref="K53" r:id="rId28" display="Link to guidance"/>
    <hyperlink ref="K54" r:id="rId29" display="Link to guidance"/>
    <hyperlink ref="K55" r:id="rId30" display="Link to guidance"/>
    <hyperlink ref="K56" r:id="rId31" display="Link to guidance"/>
    <hyperlink ref="K57" r:id="rId32" display="Link to guidance"/>
    <hyperlink ref="K58" r:id="rId33" display="Link to guidance"/>
    <hyperlink ref="K62" r:id="rId34" display="Link to guidance"/>
    <hyperlink ref="K63" r:id="rId35" display="Link to guidance"/>
    <hyperlink ref="K64" r:id="rId36" display="Link to guidance"/>
    <hyperlink ref="K65" r:id="rId37" display="Link to guidance"/>
    <hyperlink ref="K66" r:id="rId38" display="Link to guidance"/>
    <hyperlink ref="K70" r:id="rId39" display="Link to guidance"/>
  </hyperlinks>
  <pageMargins left="0.70866141732283472" right="0.70866141732283472" top="0.74803149606299213" bottom="0.74803149606299213" header="0.31496062992125984" footer="0.31496062992125984"/>
  <pageSetup paperSize="9" scale="44" fitToHeight="0" orientation="portrait" cellComments="asDisplayed" r:id="rId40"/>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CH105"/>
  <sheetViews>
    <sheetView showGridLines="0" showRowColHeaders="0" topLeftCell="A31" zoomScale="80" zoomScaleNormal="80" workbookViewId="0">
      <pane xSplit="4" topLeftCell="E1" activePane="topRight" state="frozen"/>
      <selection pane="topRight" activeCell="D44" sqref="D44"/>
    </sheetView>
  </sheetViews>
  <sheetFormatPr defaultColWidth="0" defaultRowHeight="0" customHeight="1" zeroHeight="1" x14ac:dyDescent="0.2"/>
  <cols>
    <col min="1" max="1" width="8" style="1" customWidth="1"/>
    <col min="2" max="2" width="2.5703125" style="1" customWidth="1"/>
    <col min="3" max="3" width="84" style="1" customWidth="1"/>
    <col min="4" max="4" width="12.28515625" style="1" customWidth="1"/>
    <col min="5" max="5" width="8" style="1" customWidth="1"/>
    <col min="6" max="6" width="18" style="1" customWidth="1"/>
    <col min="7" max="7" width="1.5703125" style="1" customWidth="1"/>
    <col min="8" max="8" width="36.5703125" style="1" customWidth="1"/>
    <col min="9" max="9" width="8" style="1" hidden="1" customWidth="1"/>
    <col min="10" max="10" width="18" style="1" hidden="1" customWidth="1"/>
    <col min="11" max="11" width="1.5703125" style="1" hidden="1" customWidth="1"/>
    <col min="12" max="12" width="36.5703125" style="1" hidden="1" customWidth="1"/>
    <col min="13" max="13" width="8" style="1" hidden="1" customWidth="1"/>
    <col min="14" max="14" width="18" style="1" hidden="1" customWidth="1"/>
    <col min="15" max="15" width="1.5703125" style="1" hidden="1" customWidth="1"/>
    <col min="16" max="16" width="36.5703125" style="1" hidden="1" customWidth="1"/>
    <col min="17" max="17" width="8" style="1" hidden="1" customWidth="1"/>
    <col min="18" max="18" width="18" style="1" hidden="1" customWidth="1"/>
    <col min="19" max="19" width="1.5703125" style="1" hidden="1" customWidth="1"/>
    <col min="20" max="20" width="36.5703125" style="1" hidden="1" customWidth="1"/>
    <col min="21" max="21" width="8" style="1" hidden="1" customWidth="1"/>
    <col min="22" max="22" width="18" style="1" hidden="1" customWidth="1"/>
    <col min="23" max="23" width="1.5703125" style="1" hidden="1" customWidth="1"/>
    <col min="24" max="24" width="36.5703125" style="1" hidden="1" customWidth="1"/>
    <col min="25" max="25" width="8" style="1" hidden="1" customWidth="1"/>
    <col min="26" max="26" width="18" style="1" hidden="1" customWidth="1"/>
    <col min="27" max="27" width="1.5703125" style="1" hidden="1" customWidth="1"/>
    <col min="28" max="28" width="36.5703125" style="1" hidden="1" customWidth="1"/>
    <col min="29" max="29" width="8" style="1" hidden="1" customWidth="1"/>
    <col min="30" max="30" width="18" style="1" hidden="1" customWidth="1"/>
    <col min="31" max="31" width="1.5703125" style="1" hidden="1" customWidth="1"/>
    <col min="32" max="32" width="36.5703125" style="1" hidden="1" customWidth="1"/>
    <col min="33" max="33" width="8" style="1" hidden="1" customWidth="1"/>
    <col min="34" max="34" width="18" style="1" hidden="1" customWidth="1"/>
    <col min="35" max="35" width="1.5703125" style="1" hidden="1" customWidth="1"/>
    <col min="36" max="36" width="36.5703125" style="1" hidden="1" customWidth="1"/>
    <col min="37" max="37" width="8" style="1" hidden="1" customWidth="1"/>
    <col min="38" max="38" width="18" style="1" hidden="1" customWidth="1"/>
    <col min="39" max="39" width="1.5703125" style="1" hidden="1" customWidth="1"/>
    <col min="40" max="40" width="36.5703125" style="1" hidden="1" customWidth="1"/>
    <col min="41" max="41" width="8" style="1" hidden="1" customWidth="1"/>
    <col min="42" max="42" width="18" style="1" hidden="1" customWidth="1"/>
    <col min="43" max="43" width="1.5703125" style="1" hidden="1" customWidth="1"/>
    <col min="44" max="44" width="36.5703125" style="1" hidden="1" customWidth="1"/>
    <col min="45" max="45" width="8" style="1" hidden="1" customWidth="1"/>
    <col min="46" max="46" width="18" style="1" hidden="1" customWidth="1"/>
    <col min="47" max="47" width="1.5703125" style="1" hidden="1" customWidth="1"/>
    <col min="48" max="48" width="36.5703125" style="1" hidden="1" customWidth="1"/>
    <col min="49" max="49" width="8" style="1" hidden="1" customWidth="1"/>
    <col min="50" max="50" width="18" style="1" hidden="1" customWidth="1"/>
    <col min="51" max="51" width="1.5703125" style="1" hidden="1" customWidth="1"/>
    <col min="52" max="52" width="36.5703125" style="1" hidden="1" customWidth="1"/>
    <col min="53" max="53" width="8" style="1" hidden="1" customWidth="1"/>
    <col min="54" max="54" width="18" style="1" hidden="1" customWidth="1"/>
    <col min="55" max="55" width="1.5703125" style="1" hidden="1" customWidth="1"/>
    <col min="56" max="56" width="36.5703125" style="1" hidden="1" customWidth="1"/>
    <col min="57" max="57" width="8" style="1" hidden="1" customWidth="1"/>
    <col min="58" max="58" width="18" style="1" hidden="1" customWidth="1"/>
    <col min="59" max="59" width="1.5703125" style="1" hidden="1" customWidth="1"/>
    <col min="60" max="60" width="36.5703125" style="1" hidden="1" customWidth="1"/>
    <col min="61" max="61" width="8" style="1" hidden="1" customWidth="1"/>
    <col min="62" max="62" width="18" style="1" hidden="1" customWidth="1"/>
    <col min="63" max="63" width="1.5703125" style="1" hidden="1" customWidth="1"/>
    <col min="64" max="64" width="36.5703125" style="1" hidden="1" customWidth="1"/>
    <col min="65" max="65" width="8" style="1" hidden="1" customWidth="1"/>
    <col min="66" max="66" width="18" style="1" hidden="1" customWidth="1"/>
    <col min="67" max="67" width="1.5703125" style="1" hidden="1" customWidth="1"/>
    <col min="68" max="68" width="36.5703125" style="1" hidden="1" customWidth="1"/>
    <col min="69" max="69" width="8" style="1" hidden="1" customWidth="1"/>
    <col min="70" max="70" width="18" style="1" hidden="1" customWidth="1"/>
    <col min="71" max="71" width="1.5703125" style="1" hidden="1" customWidth="1"/>
    <col min="72" max="72" width="36.5703125" style="1" hidden="1" customWidth="1"/>
    <col min="73" max="73" width="8" style="1" hidden="1" customWidth="1"/>
    <col min="74" max="74" width="18" style="1" hidden="1" customWidth="1"/>
    <col min="75" max="75" width="1.5703125" style="1" hidden="1" customWidth="1"/>
    <col min="76" max="76" width="36.5703125" style="1" hidden="1" customWidth="1"/>
    <col min="77" max="77" width="8" style="1" hidden="1" customWidth="1"/>
    <col min="78" max="78" width="18" style="1" hidden="1" customWidth="1"/>
    <col min="79" max="79" width="1.5703125" style="1" hidden="1" customWidth="1"/>
    <col min="80" max="80" width="36.5703125" style="1" hidden="1" customWidth="1"/>
    <col min="81" max="81" width="8" style="1" hidden="1" customWidth="1"/>
    <col min="82" max="82" width="18" style="1" hidden="1" customWidth="1"/>
    <col min="83" max="83" width="1.5703125" style="1" hidden="1" customWidth="1"/>
    <col min="84" max="84" width="36.5703125" style="1" hidden="1" customWidth="1"/>
    <col min="85" max="85" width="2.5703125" style="1" customWidth="1"/>
    <col min="86" max="86" width="9" style="1" customWidth="1"/>
    <col min="87" max="16384" width="9" style="1" hidden="1"/>
  </cols>
  <sheetData>
    <row r="1" spans="1:85" ht="14.25" customHeight="1" thickBot="1" x14ac:dyDescent="0.25"/>
    <row r="2" spans="1:85" ht="13.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4"/>
    </row>
    <row r="3" spans="1:85" ht="24.95" customHeight="1" x14ac:dyDescent="0.2">
      <c r="B3" s="6"/>
      <c r="C3" s="297" t="s">
        <v>183</v>
      </c>
      <c r="D3" s="297"/>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7"/>
    </row>
    <row r="4" spans="1:85" ht="14.65" customHeight="1" x14ac:dyDescent="0.2">
      <c r="B4" s="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7"/>
    </row>
    <row r="5" spans="1:85" ht="14.65" customHeight="1" x14ac:dyDescent="0.2">
      <c r="B5" s="6"/>
      <c r="C5" s="291" t="s">
        <v>261</v>
      </c>
      <c r="D5" s="292"/>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7"/>
    </row>
    <row r="6" spans="1:85" ht="14.65" customHeight="1" x14ac:dyDescent="0.2">
      <c r="B6" s="6"/>
      <c r="C6" s="293"/>
      <c r="D6" s="294"/>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7"/>
    </row>
    <row r="7" spans="1:85" ht="14.65" customHeight="1" x14ac:dyDescent="0.2">
      <c r="B7" s="6"/>
      <c r="C7" s="293"/>
      <c r="D7" s="294"/>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7"/>
    </row>
    <row r="8" spans="1:85" ht="14.65" customHeight="1" x14ac:dyDescent="0.2">
      <c r="B8" s="6"/>
      <c r="C8" s="293"/>
      <c r="D8" s="2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7"/>
    </row>
    <row r="9" spans="1:85" ht="14.65" customHeight="1" x14ac:dyDescent="0.2">
      <c r="B9" s="6"/>
      <c r="C9" s="295"/>
      <c r="D9" s="296"/>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7"/>
    </row>
    <row r="10" spans="1:85" ht="14.65" customHeight="1" x14ac:dyDescent="0.2">
      <c r="B10" s="6"/>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7"/>
    </row>
    <row r="11" spans="1:85" ht="17.100000000000001" customHeight="1" x14ac:dyDescent="0.2">
      <c r="B11" s="6"/>
      <c r="C11" s="266" t="s">
        <v>257</v>
      </c>
      <c r="D11" s="266"/>
      <c r="E11" s="147"/>
      <c r="F11" s="147"/>
      <c r="G11" s="163"/>
      <c r="H11" s="163"/>
      <c r="I11" s="163"/>
      <c r="J11" s="147"/>
      <c r="K11" s="163"/>
      <c r="L11" s="163"/>
      <c r="M11" s="163"/>
      <c r="N11" s="147"/>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47"/>
      <c r="CG11" s="7"/>
    </row>
    <row r="12" spans="1:85" s="174" customFormat="1" ht="14.65" customHeight="1" x14ac:dyDescent="0.2">
      <c r="A12" s="174" t="s">
        <v>305</v>
      </c>
      <c r="B12" s="171"/>
      <c r="C12" s="172"/>
      <c r="D12" s="172"/>
      <c r="E12" s="172"/>
      <c r="F12" s="172">
        <v>1</v>
      </c>
      <c r="G12" s="172"/>
      <c r="H12" s="172"/>
      <c r="I12" s="172"/>
      <c r="J12" s="172">
        <v>2</v>
      </c>
      <c r="K12" s="172"/>
      <c r="L12" s="172"/>
      <c r="M12" s="172"/>
      <c r="N12" s="172">
        <v>3</v>
      </c>
      <c r="O12" s="172"/>
      <c r="P12" s="172"/>
      <c r="Q12" s="172"/>
      <c r="R12" s="172">
        <v>4</v>
      </c>
      <c r="S12" s="172"/>
      <c r="T12" s="172"/>
      <c r="U12" s="172"/>
      <c r="V12" s="172">
        <v>5</v>
      </c>
      <c r="W12" s="172"/>
      <c r="X12" s="172"/>
      <c r="Y12" s="172"/>
      <c r="Z12" s="172">
        <v>6</v>
      </c>
      <c r="AA12" s="172"/>
      <c r="AB12" s="172"/>
      <c r="AC12" s="172"/>
      <c r="AD12" s="172">
        <v>7</v>
      </c>
      <c r="AE12" s="172"/>
      <c r="AF12" s="172"/>
      <c r="AG12" s="172"/>
      <c r="AH12" s="172">
        <v>8</v>
      </c>
      <c r="AI12" s="172"/>
      <c r="AJ12" s="172"/>
      <c r="AK12" s="172"/>
      <c r="AL12" s="172">
        <v>9</v>
      </c>
      <c r="AM12" s="172"/>
      <c r="AN12" s="172"/>
      <c r="AO12" s="172"/>
      <c r="AP12" s="172">
        <v>10</v>
      </c>
      <c r="AQ12" s="172"/>
      <c r="AR12" s="172"/>
      <c r="AS12" s="172"/>
      <c r="AT12" s="172">
        <v>11</v>
      </c>
      <c r="AU12" s="172"/>
      <c r="AV12" s="172"/>
      <c r="AW12" s="172"/>
      <c r="AX12" s="172">
        <v>12</v>
      </c>
      <c r="AY12" s="172"/>
      <c r="AZ12" s="172"/>
      <c r="BA12" s="172"/>
      <c r="BB12" s="172">
        <v>13</v>
      </c>
      <c r="BC12" s="172"/>
      <c r="BD12" s="172"/>
      <c r="BE12" s="172"/>
      <c r="BF12" s="172">
        <v>14</v>
      </c>
      <c r="BG12" s="172"/>
      <c r="BH12" s="172"/>
      <c r="BI12" s="172"/>
      <c r="BJ12" s="172">
        <v>15</v>
      </c>
      <c r="BK12" s="172"/>
      <c r="BL12" s="172"/>
      <c r="BM12" s="172"/>
      <c r="BN12" s="172">
        <v>16</v>
      </c>
      <c r="BO12" s="172"/>
      <c r="BP12" s="172"/>
      <c r="BQ12" s="172"/>
      <c r="BR12" s="172">
        <v>17</v>
      </c>
      <c r="BS12" s="172"/>
      <c r="BT12" s="172"/>
      <c r="BU12" s="172"/>
      <c r="BV12" s="172">
        <v>18</v>
      </c>
      <c r="BW12" s="172"/>
      <c r="BX12" s="172"/>
      <c r="BY12" s="172"/>
      <c r="BZ12" s="172">
        <v>19</v>
      </c>
      <c r="CA12" s="172"/>
      <c r="CB12" s="172"/>
      <c r="CC12" s="172"/>
      <c r="CD12" s="172">
        <v>20</v>
      </c>
      <c r="CE12" s="172"/>
      <c r="CF12" s="172"/>
      <c r="CG12" s="173"/>
    </row>
    <row r="13" spans="1:85" ht="18" customHeight="1" x14ac:dyDescent="0.2">
      <c r="B13" s="6"/>
      <c r="C13" s="307" t="s">
        <v>361</v>
      </c>
      <c r="D13" s="308"/>
      <c r="E13" s="8"/>
      <c r="F13" s="301" t="s">
        <v>6</v>
      </c>
      <c r="G13" s="302"/>
      <c r="H13" s="161" t="s">
        <v>406</v>
      </c>
      <c r="I13" s="8"/>
      <c r="J13" s="301" t="s">
        <v>6</v>
      </c>
      <c r="K13" s="302"/>
      <c r="L13" s="161"/>
      <c r="M13" s="8"/>
      <c r="N13" s="301" t="s">
        <v>6</v>
      </c>
      <c r="O13" s="302"/>
      <c r="P13" s="161"/>
      <c r="Q13" s="8"/>
      <c r="R13" s="301" t="s">
        <v>6</v>
      </c>
      <c r="S13" s="302"/>
      <c r="T13" s="161"/>
      <c r="U13" s="8"/>
      <c r="V13" s="301" t="s">
        <v>6</v>
      </c>
      <c r="W13" s="302"/>
      <c r="X13" s="161"/>
      <c r="Y13" s="8"/>
      <c r="Z13" s="301" t="s">
        <v>6</v>
      </c>
      <c r="AA13" s="302"/>
      <c r="AB13" s="161"/>
      <c r="AC13" s="8"/>
      <c r="AD13" s="301" t="s">
        <v>6</v>
      </c>
      <c r="AE13" s="302"/>
      <c r="AF13" s="161"/>
      <c r="AG13" s="8"/>
      <c r="AH13" s="301" t="s">
        <v>6</v>
      </c>
      <c r="AI13" s="302"/>
      <c r="AJ13" s="161"/>
      <c r="AK13" s="8"/>
      <c r="AL13" s="301" t="s">
        <v>6</v>
      </c>
      <c r="AM13" s="302"/>
      <c r="AN13" s="161"/>
      <c r="AO13" s="8"/>
      <c r="AP13" s="301" t="s">
        <v>6</v>
      </c>
      <c r="AQ13" s="302"/>
      <c r="AR13" s="161"/>
      <c r="AS13" s="8"/>
      <c r="AT13" s="301" t="s">
        <v>6</v>
      </c>
      <c r="AU13" s="302"/>
      <c r="AV13" s="161"/>
      <c r="AW13" s="8"/>
      <c r="AX13" s="301" t="s">
        <v>6</v>
      </c>
      <c r="AY13" s="302"/>
      <c r="AZ13" s="161"/>
      <c r="BA13" s="8"/>
      <c r="BB13" s="301" t="s">
        <v>6</v>
      </c>
      <c r="BC13" s="302"/>
      <c r="BD13" s="161"/>
      <c r="BE13" s="8"/>
      <c r="BF13" s="301" t="s">
        <v>6</v>
      </c>
      <c r="BG13" s="302"/>
      <c r="BH13" s="161"/>
      <c r="BI13" s="8"/>
      <c r="BJ13" s="301" t="s">
        <v>6</v>
      </c>
      <c r="BK13" s="302"/>
      <c r="BL13" s="161"/>
      <c r="BM13" s="8"/>
      <c r="BN13" s="301" t="s">
        <v>6</v>
      </c>
      <c r="BO13" s="302"/>
      <c r="BP13" s="161"/>
      <c r="BQ13" s="8"/>
      <c r="BR13" s="301" t="s">
        <v>6</v>
      </c>
      <c r="BS13" s="302"/>
      <c r="BT13" s="161"/>
      <c r="BU13" s="8"/>
      <c r="BV13" s="301" t="s">
        <v>6</v>
      </c>
      <c r="BW13" s="302"/>
      <c r="BX13" s="150"/>
      <c r="BY13" s="8"/>
      <c r="BZ13" s="301" t="s">
        <v>6</v>
      </c>
      <c r="CA13" s="302"/>
      <c r="CB13" s="150"/>
      <c r="CC13" s="8"/>
      <c r="CD13" s="301" t="s">
        <v>6</v>
      </c>
      <c r="CE13" s="302"/>
      <c r="CF13" s="150"/>
      <c r="CG13" s="9"/>
    </row>
    <row r="14" spans="1:85" ht="18" customHeight="1" x14ac:dyDescent="0.2">
      <c r="B14" s="6"/>
      <c r="C14" s="309"/>
      <c r="D14" s="310"/>
      <c r="E14" s="8"/>
      <c r="F14" s="301" t="s">
        <v>17</v>
      </c>
      <c r="G14" s="302"/>
      <c r="H14" s="150" t="s">
        <v>130</v>
      </c>
      <c r="J14" s="301" t="s">
        <v>17</v>
      </c>
      <c r="K14" s="302"/>
      <c r="L14" s="150"/>
      <c r="M14" s="8"/>
      <c r="N14" s="301" t="s">
        <v>17</v>
      </c>
      <c r="O14" s="302"/>
      <c r="P14" s="150"/>
      <c r="Q14" s="8"/>
      <c r="R14" s="301" t="s">
        <v>17</v>
      </c>
      <c r="S14" s="302"/>
      <c r="T14" s="150"/>
      <c r="U14" s="8"/>
      <c r="V14" s="301" t="s">
        <v>17</v>
      </c>
      <c r="W14" s="302"/>
      <c r="X14" s="150"/>
      <c r="Y14" s="8"/>
      <c r="Z14" s="301" t="s">
        <v>17</v>
      </c>
      <c r="AA14" s="302"/>
      <c r="AB14" s="150"/>
      <c r="AC14" s="8"/>
      <c r="AD14" s="301" t="s">
        <v>17</v>
      </c>
      <c r="AE14" s="302"/>
      <c r="AF14" s="150"/>
      <c r="AG14" s="8"/>
      <c r="AH14" s="301" t="s">
        <v>17</v>
      </c>
      <c r="AI14" s="302"/>
      <c r="AJ14" s="150"/>
      <c r="AK14" s="8"/>
      <c r="AL14" s="301" t="s">
        <v>17</v>
      </c>
      <c r="AM14" s="302"/>
      <c r="AN14" s="150"/>
      <c r="AO14" s="8"/>
      <c r="AP14" s="301" t="s">
        <v>17</v>
      </c>
      <c r="AQ14" s="302"/>
      <c r="AR14" s="150"/>
      <c r="AS14" s="8"/>
      <c r="AT14" s="301" t="s">
        <v>17</v>
      </c>
      <c r="AU14" s="302"/>
      <c r="AV14" s="150"/>
      <c r="AW14" s="8"/>
      <c r="AX14" s="301" t="s">
        <v>17</v>
      </c>
      <c r="AY14" s="302"/>
      <c r="AZ14" s="150"/>
      <c r="BA14" s="8"/>
      <c r="BB14" s="301" t="s">
        <v>17</v>
      </c>
      <c r="BC14" s="302"/>
      <c r="BD14" s="150"/>
      <c r="BE14" s="8"/>
      <c r="BF14" s="301" t="s">
        <v>17</v>
      </c>
      <c r="BG14" s="302"/>
      <c r="BH14" s="150"/>
      <c r="BI14" s="8"/>
      <c r="BJ14" s="301" t="s">
        <v>17</v>
      </c>
      <c r="BK14" s="302"/>
      <c r="BL14" s="150"/>
      <c r="BM14" s="8"/>
      <c r="BN14" s="301" t="s">
        <v>17</v>
      </c>
      <c r="BO14" s="302"/>
      <c r="BP14" s="150"/>
      <c r="BQ14" s="8"/>
      <c r="BR14" s="301" t="s">
        <v>17</v>
      </c>
      <c r="BS14" s="302"/>
      <c r="BT14" s="150"/>
      <c r="BU14" s="8"/>
      <c r="BV14" s="301" t="s">
        <v>17</v>
      </c>
      <c r="BW14" s="302"/>
      <c r="BX14" s="150"/>
      <c r="BY14" s="8"/>
      <c r="BZ14" s="301" t="s">
        <v>17</v>
      </c>
      <c r="CA14" s="302"/>
      <c r="CB14" s="150"/>
      <c r="CC14" s="8"/>
      <c r="CD14" s="301" t="s">
        <v>17</v>
      </c>
      <c r="CE14" s="302"/>
      <c r="CF14" s="150"/>
      <c r="CG14" s="9"/>
    </row>
    <row r="15" spans="1:85" ht="18" customHeight="1" x14ac:dyDescent="0.2">
      <c r="B15" s="6"/>
      <c r="C15" s="309"/>
      <c r="D15" s="310"/>
      <c r="E15" s="8"/>
      <c r="F15" s="301" t="s">
        <v>18</v>
      </c>
      <c r="G15" s="302"/>
      <c r="H15" s="150" t="s">
        <v>407</v>
      </c>
      <c r="J15" s="301" t="s">
        <v>18</v>
      </c>
      <c r="K15" s="302"/>
      <c r="L15" s="150"/>
      <c r="M15" s="8"/>
      <c r="N15" s="301" t="s">
        <v>18</v>
      </c>
      <c r="O15" s="302"/>
      <c r="P15" s="150"/>
      <c r="Q15" s="8"/>
      <c r="R15" s="301" t="s">
        <v>18</v>
      </c>
      <c r="S15" s="302"/>
      <c r="T15" s="150"/>
      <c r="U15" s="8"/>
      <c r="V15" s="301" t="s">
        <v>18</v>
      </c>
      <c r="W15" s="302"/>
      <c r="X15" s="150"/>
      <c r="Y15" s="8"/>
      <c r="Z15" s="301" t="s">
        <v>18</v>
      </c>
      <c r="AA15" s="302"/>
      <c r="AB15" s="150"/>
      <c r="AC15" s="8"/>
      <c r="AD15" s="301" t="s">
        <v>18</v>
      </c>
      <c r="AE15" s="302"/>
      <c r="AF15" s="150"/>
      <c r="AG15" s="8"/>
      <c r="AH15" s="301" t="s">
        <v>18</v>
      </c>
      <c r="AI15" s="302"/>
      <c r="AJ15" s="150"/>
      <c r="AK15" s="8"/>
      <c r="AL15" s="301" t="s">
        <v>18</v>
      </c>
      <c r="AM15" s="302"/>
      <c r="AN15" s="150"/>
      <c r="AO15" s="8"/>
      <c r="AP15" s="301" t="s">
        <v>18</v>
      </c>
      <c r="AQ15" s="302"/>
      <c r="AR15" s="150"/>
      <c r="AS15" s="8"/>
      <c r="AT15" s="301" t="s">
        <v>18</v>
      </c>
      <c r="AU15" s="302"/>
      <c r="AV15" s="150"/>
      <c r="AW15" s="8"/>
      <c r="AX15" s="301" t="s">
        <v>18</v>
      </c>
      <c r="AY15" s="302"/>
      <c r="AZ15" s="150"/>
      <c r="BA15" s="8"/>
      <c r="BB15" s="301" t="s">
        <v>18</v>
      </c>
      <c r="BC15" s="302"/>
      <c r="BD15" s="150"/>
      <c r="BE15" s="8"/>
      <c r="BF15" s="301" t="s">
        <v>18</v>
      </c>
      <c r="BG15" s="302"/>
      <c r="BH15" s="150"/>
      <c r="BI15" s="8"/>
      <c r="BJ15" s="301" t="s">
        <v>18</v>
      </c>
      <c r="BK15" s="302"/>
      <c r="BL15" s="150"/>
      <c r="BM15" s="8"/>
      <c r="BN15" s="301" t="s">
        <v>18</v>
      </c>
      <c r="BO15" s="302"/>
      <c r="BP15" s="150"/>
      <c r="BQ15" s="8"/>
      <c r="BR15" s="301" t="s">
        <v>18</v>
      </c>
      <c r="BS15" s="302"/>
      <c r="BT15" s="150"/>
      <c r="BU15" s="8"/>
      <c r="BV15" s="301" t="s">
        <v>18</v>
      </c>
      <c r="BW15" s="302"/>
      <c r="BX15" s="150"/>
      <c r="BY15" s="8"/>
      <c r="BZ15" s="301" t="s">
        <v>18</v>
      </c>
      <c r="CA15" s="302"/>
      <c r="CB15" s="150"/>
      <c r="CC15" s="8"/>
      <c r="CD15" s="301" t="s">
        <v>18</v>
      </c>
      <c r="CE15" s="302"/>
      <c r="CF15" s="150"/>
      <c r="CG15" s="9"/>
    </row>
    <row r="16" spans="1:85" ht="18" customHeight="1" x14ac:dyDescent="0.2">
      <c r="B16" s="6"/>
      <c r="C16" s="309"/>
      <c r="D16" s="310"/>
      <c r="E16" s="8"/>
      <c r="F16" s="301" t="s">
        <v>19</v>
      </c>
      <c r="G16" s="302"/>
      <c r="H16" s="150">
        <v>1352</v>
      </c>
      <c r="I16" s="8"/>
      <c r="J16" s="301" t="s">
        <v>19</v>
      </c>
      <c r="K16" s="302"/>
      <c r="L16" s="150"/>
      <c r="M16" s="8"/>
      <c r="N16" s="301" t="s">
        <v>19</v>
      </c>
      <c r="O16" s="302"/>
      <c r="P16" s="150"/>
      <c r="Q16" s="8"/>
      <c r="R16" s="301" t="s">
        <v>19</v>
      </c>
      <c r="S16" s="302"/>
      <c r="T16" s="150"/>
      <c r="U16" s="8"/>
      <c r="V16" s="301" t="s">
        <v>19</v>
      </c>
      <c r="W16" s="302"/>
      <c r="X16" s="150"/>
      <c r="Y16" s="8"/>
      <c r="Z16" s="301" t="s">
        <v>19</v>
      </c>
      <c r="AA16" s="302"/>
      <c r="AB16" s="150"/>
      <c r="AC16" s="8"/>
      <c r="AD16" s="301" t="s">
        <v>19</v>
      </c>
      <c r="AE16" s="302"/>
      <c r="AF16" s="150"/>
      <c r="AG16" s="8"/>
      <c r="AH16" s="301" t="s">
        <v>19</v>
      </c>
      <c r="AI16" s="302"/>
      <c r="AJ16" s="150"/>
      <c r="AK16" s="8"/>
      <c r="AL16" s="301" t="s">
        <v>19</v>
      </c>
      <c r="AM16" s="302"/>
      <c r="AN16" s="150"/>
      <c r="AO16" s="8"/>
      <c r="AP16" s="301" t="s">
        <v>19</v>
      </c>
      <c r="AQ16" s="302"/>
      <c r="AR16" s="150"/>
      <c r="AS16" s="8"/>
      <c r="AT16" s="301" t="s">
        <v>19</v>
      </c>
      <c r="AU16" s="302"/>
      <c r="AV16" s="150"/>
      <c r="AW16" s="8"/>
      <c r="AX16" s="301" t="s">
        <v>19</v>
      </c>
      <c r="AY16" s="302"/>
      <c r="AZ16" s="150"/>
      <c r="BA16" s="8"/>
      <c r="BB16" s="301" t="s">
        <v>19</v>
      </c>
      <c r="BC16" s="302"/>
      <c r="BD16" s="150"/>
      <c r="BE16" s="8"/>
      <c r="BF16" s="301" t="s">
        <v>19</v>
      </c>
      <c r="BG16" s="302"/>
      <c r="BH16" s="150"/>
      <c r="BI16" s="8"/>
      <c r="BJ16" s="301" t="s">
        <v>19</v>
      </c>
      <c r="BK16" s="302"/>
      <c r="BL16" s="150"/>
      <c r="BM16" s="8"/>
      <c r="BN16" s="301" t="s">
        <v>19</v>
      </c>
      <c r="BO16" s="302"/>
      <c r="BP16" s="150"/>
      <c r="BQ16" s="8"/>
      <c r="BR16" s="301" t="s">
        <v>19</v>
      </c>
      <c r="BS16" s="302"/>
      <c r="BT16" s="150"/>
      <c r="BU16" s="8"/>
      <c r="BV16" s="301" t="s">
        <v>19</v>
      </c>
      <c r="BW16" s="302"/>
      <c r="BX16" s="150"/>
      <c r="BY16" s="8"/>
      <c r="BZ16" s="301" t="s">
        <v>19</v>
      </c>
      <c r="CA16" s="302"/>
      <c r="CB16" s="150"/>
      <c r="CC16" s="8"/>
      <c r="CD16" s="301" t="s">
        <v>19</v>
      </c>
      <c r="CE16" s="302"/>
      <c r="CF16" s="150"/>
      <c r="CG16" s="9"/>
    </row>
    <row r="17" spans="2:85" ht="31.5" customHeight="1" x14ac:dyDescent="0.2">
      <c r="B17" s="6"/>
      <c r="C17" s="309"/>
      <c r="D17" s="310"/>
      <c r="E17" s="8"/>
      <c r="F17" s="303" t="s">
        <v>256</v>
      </c>
      <c r="G17" s="304"/>
      <c r="H17" s="151">
        <v>6.1400000000000003E-2</v>
      </c>
      <c r="I17" s="8"/>
      <c r="J17" s="303" t="s">
        <v>256</v>
      </c>
      <c r="K17" s="304"/>
      <c r="L17" s="151"/>
      <c r="M17" s="8"/>
      <c r="N17" s="303" t="s">
        <v>256</v>
      </c>
      <c r="O17" s="304"/>
      <c r="P17" s="151"/>
      <c r="Q17" s="8"/>
      <c r="R17" s="303" t="s">
        <v>256</v>
      </c>
      <c r="S17" s="304"/>
      <c r="T17" s="151"/>
      <c r="U17" s="8"/>
      <c r="V17" s="303" t="s">
        <v>256</v>
      </c>
      <c r="W17" s="304"/>
      <c r="X17" s="151"/>
      <c r="Y17" s="8"/>
      <c r="Z17" s="303" t="s">
        <v>256</v>
      </c>
      <c r="AA17" s="304"/>
      <c r="AB17" s="151"/>
      <c r="AC17" s="8"/>
      <c r="AD17" s="303" t="s">
        <v>256</v>
      </c>
      <c r="AE17" s="304"/>
      <c r="AF17" s="151"/>
      <c r="AG17" s="8"/>
      <c r="AH17" s="303" t="s">
        <v>256</v>
      </c>
      <c r="AI17" s="304"/>
      <c r="AJ17" s="151"/>
      <c r="AK17" s="8"/>
      <c r="AL17" s="303" t="s">
        <v>256</v>
      </c>
      <c r="AM17" s="304"/>
      <c r="AN17" s="151"/>
      <c r="AO17" s="8"/>
      <c r="AP17" s="303" t="s">
        <v>256</v>
      </c>
      <c r="AQ17" s="304"/>
      <c r="AR17" s="151"/>
      <c r="AS17" s="8"/>
      <c r="AT17" s="303" t="s">
        <v>256</v>
      </c>
      <c r="AU17" s="304"/>
      <c r="AV17" s="151"/>
      <c r="AW17" s="8"/>
      <c r="AX17" s="303" t="s">
        <v>256</v>
      </c>
      <c r="AY17" s="304"/>
      <c r="AZ17" s="151"/>
      <c r="BA17" s="8"/>
      <c r="BB17" s="303" t="s">
        <v>256</v>
      </c>
      <c r="BC17" s="304"/>
      <c r="BD17" s="151"/>
      <c r="BE17" s="8"/>
      <c r="BF17" s="303" t="s">
        <v>256</v>
      </c>
      <c r="BG17" s="304"/>
      <c r="BH17" s="151"/>
      <c r="BI17" s="8"/>
      <c r="BJ17" s="303" t="s">
        <v>256</v>
      </c>
      <c r="BK17" s="304"/>
      <c r="BL17" s="151"/>
      <c r="BM17" s="8"/>
      <c r="BN17" s="303" t="s">
        <v>256</v>
      </c>
      <c r="BO17" s="304"/>
      <c r="BP17" s="151"/>
      <c r="BQ17" s="8"/>
      <c r="BR17" s="303" t="s">
        <v>256</v>
      </c>
      <c r="BS17" s="304"/>
      <c r="BT17" s="151"/>
      <c r="BU17" s="8"/>
      <c r="BV17" s="303" t="s">
        <v>256</v>
      </c>
      <c r="BW17" s="304"/>
      <c r="BX17" s="151"/>
      <c r="BY17" s="8"/>
      <c r="BZ17" s="303" t="s">
        <v>256</v>
      </c>
      <c r="CA17" s="304"/>
      <c r="CB17" s="151"/>
      <c r="CC17" s="8"/>
      <c r="CD17" s="303" t="s">
        <v>256</v>
      </c>
      <c r="CE17" s="304"/>
      <c r="CF17" s="151"/>
      <c r="CG17" s="9"/>
    </row>
    <row r="18" spans="2:85" s="202" customFormat="1" ht="14.65" customHeight="1" x14ac:dyDescent="0.2">
      <c r="B18" s="203"/>
      <c r="C18" s="309"/>
      <c r="D18" s="310"/>
      <c r="E18" s="204"/>
      <c r="F18" s="201"/>
      <c r="G18" s="201"/>
      <c r="H18" s="201"/>
      <c r="I18" s="204"/>
      <c r="J18" s="205"/>
      <c r="K18" s="206"/>
      <c r="L18" s="206"/>
      <c r="M18" s="204"/>
      <c r="N18" s="205"/>
      <c r="O18" s="206"/>
      <c r="P18" s="206"/>
      <c r="Q18" s="204"/>
      <c r="R18" s="205"/>
      <c r="S18" s="206"/>
      <c r="T18" s="206"/>
      <c r="U18" s="204"/>
      <c r="V18" s="205"/>
      <c r="W18" s="206"/>
      <c r="X18" s="206"/>
      <c r="Y18" s="204"/>
      <c r="Z18" s="205"/>
      <c r="AA18" s="206"/>
      <c r="AB18" s="206"/>
      <c r="AC18" s="204"/>
      <c r="AD18" s="205"/>
      <c r="AE18" s="206"/>
      <c r="AF18" s="206"/>
      <c r="AG18" s="204"/>
      <c r="AH18" s="205"/>
      <c r="AI18" s="206"/>
      <c r="AJ18" s="206"/>
      <c r="AK18" s="204"/>
      <c r="AL18" s="205"/>
      <c r="AM18" s="206"/>
      <c r="AN18" s="206"/>
      <c r="AO18" s="204"/>
      <c r="AP18" s="205"/>
      <c r="AQ18" s="206"/>
      <c r="AR18" s="206"/>
      <c r="AS18" s="204"/>
      <c r="AT18" s="205"/>
      <c r="AU18" s="206"/>
      <c r="AV18" s="206"/>
      <c r="AW18" s="204"/>
      <c r="AX18" s="205"/>
      <c r="AY18" s="206"/>
      <c r="AZ18" s="206"/>
      <c r="BA18" s="204"/>
      <c r="BB18" s="205"/>
      <c r="BC18" s="206"/>
      <c r="BD18" s="206"/>
      <c r="BE18" s="204"/>
      <c r="BF18" s="205"/>
      <c r="BG18" s="206"/>
      <c r="BH18" s="206"/>
      <c r="BI18" s="204"/>
      <c r="BJ18" s="205"/>
      <c r="BK18" s="206"/>
      <c r="BL18" s="206"/>
      <c r="BM18" s="204"/>
      <c r="BN18" s="205"/>
      <c r="BO18" s="206"/>
      <c r="BP18" s="206"/>
      <c r="BQ18" s="204"/>
      <c r="BR18" s="205"/>
      <c r="BS18" s="206"/>
      <c r="BT18" s="206"/>
      <c r="BU18" s="204"/>
      <c r="BV18" s="205"/>
      <c r="BW18" s="206"/>
      <c r="BX18" s="206"/>
      <c r="BY18" s="204"/>
      <c r="BZ18" s="205"/>
      <c r="CA18" s="206"/>
      <c r="CB18" s="206"/>
      <c r="CC18" s="204"/>
      <c r="CD18" s="205"/>
      <c r="CE18" s="206"/>
      <c r="CF18" s="206"/>
      <c r="CG18" s="207"/>
    </row>
    <row r="19" spans="2:85" s="169" customFormat="1" ht="17.649999999999999" customHeight="1" x14ac:dyDescent="0.25">
      <c r="B19" s="166"/>
      <c r="C19" s="305" t="s">
        <v>262</v>
      </c>
      <c r="D19" s="306"/>
      <c r="E19" s="167"/>
      <c r="F19" s="323" t="s">
        <v>260</v>
      </c>
      <c r="G19" s="323"/>
      <c r="H19" s="323"/>
      <c r="I19" s="167"/>
      <c r="J19" s="323" t="s">
        <v>260</v>
      </c>
      <c r="K19" s="323"/>
      <c r="L19" s="323"/>
      <c r="M19" s="167"/>
      <c r="N19" s="323" t="s">
        <v>260</v>
      </c>
      <c r="O19" s="323"/>
      <c r="P19" s="323"/>
      <c r="Q19" s="167"/>
      <c r="R19" s="323" t="s">
        <v>260</v>
      </c>
      <c r="S19" s="323"/>
      <c r="T19" s="323"/>
      <c r="U19" s="167"/>
      <c r="V19" s="323" t="s">
        <v>260</v>
      </c>
      <c r="W19" s="323"/>
      <c r="X19" s="323"/>
      <c r="Y19" s="167"/>
      <c r="Z19" s="323" t="s">
        <v>260</v>
      </c>
      <c r="AA19" s="323"/>
      <c r="AB19" s="323"/>
      <c r="AC19" s="167"/>
      <c r="AD19" s="323" t="s">
        <v>260</v>
      </c>
      <c r="AE19" s="323"/>
      <c r="AF19" s="323"/>
      <c r="AG19" s="167"/>
      <c r="AH19" s="323" t="s">
        <v>260</v>
      </c>
      <c r="AI19" s="323"/>
      <c r="AJ19" s="323"/>
      <c r="AK19" s="167"/>
      <c r="AL19" s="323" t="s">
        <v>260</v>
      </c>
      <c r="AM19" s="323"/>
      <c r="AN19" s="323"/>
      <c r="AO19" s="167"/>
      <c r="AP19" s="323" t="s">
        <v>260</v>
      </c>
      <c r="AQ19" s="323"/>
      <c r="AR19" s="323"/>
      <c r="AS19" s="167"/>
      <c r="AT19" s="323" t="s">
        <v>260</v>
      </c>
      <c r="AU19" s="323"/>
      <c r="AV19" s="323"/>
      <c r="AW19" s="167"/>
      <c r="AX19" s="323" t="s">
        <v>260</v>
      </c>
      <c r="AY19" s="323"/>
      <c r="AZ19" s="323"/>
      <c r="BA19" s="167"/>
      <c r="BB19" s="323" t="s">
        <v>260</v>
      </c>
      <c r="BC19" s="323"/>
      <c r="BD19" s="323"/>
      <c r="BE19" s="167"/>
      <c r="BF19" s="323" t="s">
        <v>260</v>
      </c>
      <c r="BG19" s="323"/>
      <c r="BH19" s="323"/>
      <c r="BI19" s="167"/>
      <c r="BJ19" s="323" t="s">
        <v>260</v>
      </c>
      <c r="BK19" s="323"/>
      <c r="BL19" s="323"/>
      <c r="BM19" s="167"/>
      <c r="BN19" s="323" t="s">
        <v>260</v>
      </c>
      <c r="BO19" s="323"/>
      <c r="BP19" s="323"/>
      <c r="BQ19" s="167"/>
      <c r="BR19" s="323" t="s">
        <v>260</v>
      </c>
      <c r="BS19" s="323"/>
      <c r="BT19" s="323"/>
      <c r="BU19" s="167"/>
      <c r="BV19" s="323" t="s">
        <v>260</v>
      </c>
      <c r="BW19" s="323"/>
      <c r="BX19" s="323"/>
      <c r="BY19" s="167"/>
      <c r="BZ19" s="323" t="s">
        <v>260</v>
      </c>
      <c r="CA19" s="323"/>
      <c r="CB19" s="323"/>
      <c r="CC19" s="167"/>
      <c r="CD19" s="323" t="s">
        <v>260</v>
      </c>
      <c r="CE19" s="323"/>
      <c r="CF19" s="323"/>
      <c r="CG19" s="168"/>
    </row>
    <row r="20" spans="2:85" ht="14.65" customHeight="1" x14ac:dyDescent="0.2">
      <c r="B20" s="6"/>
      <c r="C20" s="305"/>
      <c r="D20" s="306"/>
      <c r="E20" s="5"/>
      <c r="F20" s="322" t="str">
        <f>IF(OR(H$14="",H$15="",H$16="",H$17=""),"",
"- "&amp;Calcs!$J29&amp;
IF(H14="Primary"," primary schools with ",IF(H14="Secondary with sixth form"," secondary schools with a sixth form with ",IF(H14="Secondary without sixth form"," secondary schools without a sixth form with ",IF(H14="Special","special schools",IF(H14="Alternative provision","alternative provision schools",IF(H14="All-through","all-through schools",IF(H14="Nursery","nursery schools","")))))))&amp;Calcs!$K29)</f>
        <v>- large secondary schools with a sixth form with medium levels of FSM</v>
      </c>
      <c r="G20" s="322"/>
      <c r="H20" s="322"/>
      <c r="I20" s="5"/>
      <c r="J20" s="322" t="str">
        <f>IF(OR(L$14="",L$15="",L$16="",L$17=""),"",
"- "&amp;Calcs!$J30&amp;
IF(L14="Primary"," primary schools with ",IF(L14="Secondary with sixth form"," secondary schools with a sixth form with ",IF(L14="Secondary without sixth form"," secondary schools without a sixth form with ",IF(L14="Special","special schools",IF(L14="Alternative provision","alternative provision schools",IF(L14="All-through","all-through schools",IF(L14="Nursery","nursery schools","")))))))&amp;Calcs!$K30)</f>
        <v/>
      </c>
      <c r="K20" s="322"/>
      <c r="L20" s="322"/>
      <c r="M20" s="5"/>
      <c r="N20" s="322" t="str">
        <f>IF(OR(P$14="",P$15="",P$16="",P$17=""),"",
"- "&amp;Calcs!$J31&amp;
IF(P14="Primary"," primary schools with ",IF(P14="Secondary with sixth form"," secondary schools with a sixth form with ",IF(P14="Secondary without sixth form"," secondary schools without a sixth form with ",IF(P14="Special","special schools",IF(P14="Alternative provision","alternative provision schools",IF(P14="All-through","all-through schools",IF(P14="Nursery","nursery schools","")))))))&amp;Calcs!$K31)</f>
        <v/>
      </c>
      <c r="O20" s="322"/>
      <c r="P20" s="322"/>
      <c r="Q20" s="5"/>
      <c r="R20" s="322" t="str">
        <f>IF(OR(T$14="",T$15="",T$16="",T$17=""),"",
"- "&amp;Calcs!$J32&amp;
IF(T14="Primary"," primary schools with ",IF(T14="Secondary with sixth form"," secondary schools with a sixth form with ",IF(T14="Secondary without sixth form"," secondary schools without a sixth form with ",IF(T14="Special","special schools",IF(T14="Alternative provision","alternative provision schools",IF(T14="All-through","all-through schools",IF(T14="Nursery","nursery schools","")))))))&amp;Calcs!$K32)</f>
        <v/>
      </c>
      <c r="S20" s="322"/>
      <c r="T20" s="322"/>
      <c r="U20" s="5"/>
      <c r="V20" s="324" t="str">
        <f>IF(OR(X$14="",X$15="",X$16="",X$17=""),"",
"- "&amp;Calcs!$J33&amp;
IF(X14="Primary"," primary schools with ",IF(X14="Secondary with sixth form"," secondary schools with a sixth form with ",IF(X14="Secondary without sixth form"," secondary schools without a sixth form with ",IF(X14="Special","special schools",IF(X14="Alternative provision","alternative provision schools",IF(X14="All-through","all-through schools",IF(X14="Nursery","nursery schools","")))))))&amp;Calcs!$K33)</f>
        <v/>
      </c>
      <c r="W20" s="324"/>
      <c r="X20" s="324"/>
      <c r="Y20" s="5"/>
      <c r="Z20" s="322" t="str">
        <f>IF(OR(AB$14="",AB$15="",AB$16="",AB$17=""),"",
"- "&amp;Calcs!$J34&amp;
IF(AB14="Primary"," primary schools with ",IF(AB14="Secondary with sixth form"," secondary schools with a sixth form with ",IF(AB14="Secondary without sixth form"," secondary schools without a sixth form with ",IF(AB14="Special","special schools",IF(AB14="Alternative provision","alternative provision schools",IF(AB14="All-through","all-through schools",IF(AB14="Nursery"," nursery schools","")))))))&amp;Calcs!$K34)</f>
        <v/>
      </c>
      <c r="AA20" s="322"/>
      <c r="AB20" s="322"/>
      <c r="AC20" s="5"/>
      <c r="AD20" s="322" t="str">
        <f>IF(OR(AF$14="",AF$15="",AF$16="",AF$17=""),"",
"- "&amp;Calcs!$J35&amp;
IF(AF14="Primary"," primary schools with ",IF(AF14="Secondary with sixth form"," secondary schools with a sixth form with ",IF(AF14="Secondary without sixth form"," secondary schools without a sixth form with ",IF(AF14="Special","special schools",IF(AF14="Alternative provision","alternative provision schools",IF(AF14="All-through","all-through schools",IF(AF14="Nursery","nursery schools","")))))))&amp;Calcs!$K35)</f>
        <v/>
      </c>
      <c r="AE20" s="322"/>
      <c r="AF20" s="322"/>
      <c r="AG20" s="5"/>
      <c r="AH20" s="322" t="str">
        <f>IF(OR(AJ$14="",AJ$15="",AJ$16="",AJ$17=""),"",
"- "&amp;Calcs!$J36&amp;
IF(AJ14="Primary"," primary schools with ",IF(AJ14="Secondary with sixth form"," secondary schools with a sixth form with ",IF(AJ14="Secondary without sixth form"," secondary schools without a sixth form with ",IF(AJ14="Special","special schools",IF(AJ14="Alternative provision","alternative provision schools",IF(AJ14="All-through","all-through schools",IF(AJ14="Nursery","nursery schools","")))))))&amp;Calcs!$K36)</f>
        <v/>
      </c>
      <c r="AI20" s="322"/>
      <c r="AJ20" s="322"/>
      <c r="AK20" s="5"/>
      <c r="AL20" s="322" t="str">
        <f>IF(OR(AN$14="",AN$15="",AN$16="",AN$17=""),"",
"- "&amp;Calcs!$J37&amp;
IF(AN14="Primary"," primary schools with ",IF(AN14="Secondary with sixth form"," secondary schools with a sixth form with ",IF(AN14="Secondary without sixth form"," secondary schools without a sixth form with ",IF(AN14="Special","special schools",IF(AN14="Alternative provision","alternative provision schools",IF(AN14="All-through","all-through schools",IF(AN14="Nursery","nursery schools","")))))))&amp;Calcs!$K37)</f>
        <v/>
      </c>
      <c r="AM20" s="322"/>
      <c r="AN20" s="322"/>
      <c r="AO20" s="5"/>
      <c r="AP20" s="322" t="str">
        <f>IF(OR(AR$14="",AR$15="",AR$16="",AR$17=""),"",
"- "&amp;Calcs!$J38&amp;
IF(AR14="Primary"," primary schools with ",IF(AR14="Secondary with sixth form"," secondary schools with a sixth form with ",IF(AR14="Secondary without sixth form"," secondary schools without a sixth form with ",IF(AR14="Special","special schools",IF(AR14="Alternative provision","alternative provision schools",IF(AR14="All-through","all-through schools",IF(AR14="Nursery","nursery schools","")))))))&amp;Calcs!$K38)</f>
        <v/>
      </c>
      <c r="AQ20" s="322"/>
      <c r="AR20" s="322"/>
      <c r="AS20" s="5"/>
      <c r="AT20" s="322" t="str">
        <f>IF(OR(AV$14="",AV$15="",AV$16="",AV$17=""),"",
"- "&amp;Calcs!$J39&amp;
IF(AV14="Primary"," primary schools with ",IF(AV14="Secondary with sixth form"," secondary schools with a sixth form with ",IF(AV14="Secondary without sixth form"," secondary schools without a sixth form with ",IF(AV14="Special","special schools",IF(AV14="Alternative provision","alternative provision schools",IF(AV14="All-through","all-through schools",IF(AV14="Nursery","nursery schools","")))))))&amp;Calcs!$K39)</f>
        <v/>
      </c>
      <c r="AU20" s="322"/>
      <c r="AV20" s="322"/>
      <c r="AW20" s="5"/>
      <c r="AX20" s="322" t="str">
        <f>IF(OR(AZ$14="",AZ$15="",AZ$16="",AZ$17=""),"",
"- "&amp;Calcs!$J40&amp;
IF(AZ14="Primary"," primary schools with ",IF(AZ14="Secondary with sixth form"," secondary schools with a sixth form with ",IF(AZ14="Secondary without sixth form"," secondary schools without a sixth form with ",IF(AZ14="Special","special schools",IF(AZ14="Alternative provision","alternative provision schools",IF(AZ14="All-through","all-through schools",IF(AZ14="Nursery","nursery schools","")))))))&amp;Calcs!$K40)</f>
        <v/>
      </c>
      <c r="AY20" s="322"/>
      <c r="AZ20" s="322"/>
      <c r="BA20" s="5"/>
      <c r="BB20" s="322" t="str">
        <f>IF(OR(BD$14="",BD$15="",BD$16="",BD$17=""),"",
"- "&amp;Calcs!$J41&amp;
IF(BD14="Primary"," primary schools with ",IF(BD14="Secondary with sixth form"," secondary schools with a sixth form with ",IF(BD14="Secondary without sixth form"," secondary schools without a sixth form with ",IF(BD14="Special","special schools",IF(BD14="Alternative provision","alternative provision schools",IF(BD14="All-through","all-through schools",IF(BD14="Nursery","nursery schools","")))))))&amp;Calcs!$K41)</f>
        <v/>
      </c>
      <c r="BC20" s="322"/>
      <c r="BD20" s="322"/>
      <c r="BE20" s="5"/>
      <c r="BF20" s="322" t="str">
        <f>IF(OR(BH$14="",BH$15="",BH$16="",BH$17=""),"",
"- "&amp;Calcs!$J42&amp;
IF(BH14="Primary"," primary schools with ",IF(BH14="Secondary with sixth form"," secondary schools with a sixth form with ",IF(BH14="Secondary without sixth form"," secondary schools without a sixth form with ",IF(BH14="Special","special schools",IF(BH14="Alternative provision","alternative provision schools",IF(BH14="All-through","all-through schools",IF(BH14="Nursery","nursery schools","")))))))&amp;Calcs!$K42)</f>
        <v/>
      </c>
      <c r="BG20" s="322"/>
      <c r="BH20" s="322"/>
      <c r="BI20" s="5"/>
      <c r="BJ20" s="322" t="str">
        <f>IF(OR(BL$14="",BL$15="",BL$16="",BL$17=""),"",
"- "&amp;Calcs!$J43&amp;
IF(BL14="Primary"," primary schools with ",IF(BL14="Secondary with sixth form"," secondary schools with a sixth form with ",IF(BL14="Secondary without sixth form"," secondary schools without a sixth form with ",IF(BL14="Special","special schools",IF(BL14="Alternative provision","alternative provision schools",IF(BL14="All-through","all-through schools",IF(BL14="Nursery","nursery schools","")))))))&amp;Calcs!$K43)</f>
        <v/>
      </c>
      <c r="BK20" s="322"/>
      <c r="BL20" s="322"/>
      <c r="BM20" s="5"/>
      <c r="BN20" s="322" t="str">
        <f>IF(OR(BP$14="",BP$15="",BP$16="",BP$17=""),"",
"- "&amp;Calcs!$J44&amp;
IF(BP14="Primary"," primary schools with ",IF(BP14="Secondary with sixth form"," secondary schools with a sixth form with ",IF(BP14="Secondary without sixth form"," secondary schools without a sixth form with ",IF(BP14="Special","special schools",IF(BP14="Alternative provision","alternative provision schools",IF(BP14="All-through","all-through schools",IF(BP14="Nursery","nursery schools","")))))))&amp;Calcs!$K44)</f>
        <v/>
      </c>
      <c r="BO20" s="322"/>
      <c r="BP20" s="322"/>
      <c r="BQ20" s="5"/>
      <c r="BR20" s="322" t="str">
        <f>IF(OR(BT$14="",BT$15="",BT$16="",BT$17=""),"",
"- "&amp;Calcs!$J45&amp;
IF(BT14="Primary"," primary schools with ",IF(BT14="Secondary with sixth form"," secondary schools with a sixth form with ",IF(BT14="Secondary without sixth form"," secondary schools without a sixth form with ",IF(BT14="Special","special schools",IF(BT14="Alternative provision","alternative provision schools",IF(BT14="All-through","all-through schools",IF(BT14="Nursery","nursery schools","")))))))&amp;Calcs!$K45)</f>
        <v/>
      </c>
      <c r="BS20" s="322"/>
      <c r="BT20" s="322"/>
      <c r="BU20" s="5"/>
      <c r="BV20" s="322" t="str">
        <f>IF(OR(BX$14="",BX$15="",BX$16="",BX$17=""),"",
"- "&amp;Calcs!$J46&amp;
IF(BX14="Primary"," primary schools with ",IF(BX14="Secondary with sixth form"," secondary schools with a sixth form with ",IF(BX14="Secondary without sixth form"," secondary schools without a sixth form with ",IF(BX14="Special","special schools",IF(BX14="Alternative provision","alternative provision schools",IF(BX14="All-through","all-through schools",IF(BX14="Nursery","nursery schools","")))))))&amp;Calcs!$K46)</f>
        <v/>
      </c>
      <c r="BW20" s="322"/>
      <c r="BX20" s="322"/>
      <c r="BY20" s="5"/>
      <c r="BZ20" s="322" t="str">
        <f>IF(OR(CB$14="",CB$15="",CB$16="",CB$17=""),"",
"- "&amp;Calcs!$J47&amp;
IF(CB14="Primary"," primary schools with ",IF(CB14="Secondary with sixth form"," secondary schools with a sixth form with ",IF(CB14="Secondary without sixth form"," secondary schools without a sixth form with ",IF(CB14="Special","special schools",IF(CB14="Alternative provision","alternative provision schools",IF(CB14="All-through","all-through schools",IF(CB14="Nursery","nursery schools","")))))))&amp;Calcs!$K47)</f>
        <v/>
      </c>
      <c r="CA20" s="322"/>
      <c r="CB20" s="322"/>
      <c r="CC20" s="5"/>
      <c r="CD20" s="322" t="str">
        <f>IF(OR(CF$14="",CF$15="",CF$16="",CF$17=""),"",
"- "&amp;Calcs!$J48&amp;
IF(CF14="Primary"," primary schools with ",IF(CF14="Secondary with sixth form"," secondary schools with a sixth form with ",IF(CF14="Secondary without sixth form"," secondary schools without a sixth form with ",IF(CF14="Special","special schools",IF(CF14="Alternative provision","alternative provision schools",IF(CF14="All-through","all-through schools",IF(CF14="Nursery","nursery schools","")))))))&amp;Calcs!$K48)</f>
        <v/>
      </c>
      <c r="CE20" s="322"/>
      <c r="CF20" s="322"/>
      <c r="CG20" s="7"/>
    </row>
    <row r="21" spans="2:85" ht="14.65" customHeight="1" x14ac:dyDescent="0.2">
      <c r="B21" s="6"/>
      <c r="C21" s="305"/>
      <c r="D21" s="306"/>
      <c r="E21" s="5"/>
      <c r="F21" s="322"/>
      <c r="G21" s="322"/>
      <c r="H21" s="322"/>
      <c r="I21" s="5"/>
      <c r="J21" s="322"/>
      <c r="K21" s="322"/>
      <c r="L21" s="322"/>
      <c r="M21" s="5"/>
      <c r="N21" s="322"/>
      <c r="O21" s="322"/>
      <c r="P21" s="322"/>
      <c r="Q21" s="5"/>
      <c r="R21" s="322"/>
      <c r="S21" s="322"/>
      <c r="T21" s="322"/>
      <c r="U21" s="5"/>
      <c r="V21" s="324"/>
      <c r="W21" s="324"/>
      <c r="X21" s="324"/>
      <c r="Y21" s="5"/>
      <c r="Z21" s="322"/>
      <c r="AA21" s="322"/>
      <c r="AB21" s="322"/>
      <c r="AC21" s="5"/>
      <c r="AD21" s="322"/>
      <c r="AE21" s="322"/>
      <c r="AF21" s="322"/>
      <c r="AG21" s="5"/>
      <c r="AH21" s="322"/>
      <c r="AI21" s="322"/>
      <c r="AJ21" s="322"/>
      <c r="AK21" s="5"/>
      <c r="AL21" s="322"/>
      <c r="AM21" s="322"/>
      <c r="AN21" s="322"/>
      <c r="AO21" s="5"/>
      <c r="AP21" s="322"/>
      <c r="AQ21" s="322"/>
      <c r="AR21" s="322"/>
      <c r="AS21" s="5"/>
      <c r="AT21" s="322"/>
      <c r="AU21" s="322"/>
      <c r="AV21" s="322"/>
      <c r="AW21" s="5"/>
      <c r="AX21" s="322"/>
      <c r="AY21" s="322"/>
      <c r="AZ21" s="322"/>
      <c r="BA21" s="5"/>
      <c r="BB21" s="322"/>
      <c r="BC21" s="322"/>
      <c r="BD21" s="322"/>
      <c r="BE21" s="5"/>
      <c r="BF21" s="322"/>
      <c r="BG21" s="322"/>
      <c r="BH21" s="322"/>
      <c r="BI21" s="5"/>
      <c r="BJ21" s="322"/>
      <c r="BK21" s="322"/>
      <c r="BL21" s="322"/>
      <c r="BM21" s="5"/>
      <c r="BN21" s="322"/>
      <c r="BO21" s="322"/>
      <c r="BP21" s="322"/>
      <c r="BQ21" s="5"/>
      <c r="BR21" s="322"/>
      <c r="BS21" s="322"/>
      <c r="BT21" s="322"/>
      <c r="BU21" s="5"/>
      <c r="BV21" s="322"/>
      <c r="BW21" s="322"/>
      <c r="BX21" s="322"/>
      <c r="BY21" s="5"/>
      <c r="BZ21" s="322"/>
      <c r="CA21" s="322"/>
      <c r="CB21" s="322"/>
      <c r="CC21" s="5"/>
      <c r="CD21" s="322"/>
      <c r="CE21" s="322"/>
      <c r="CF21" s="322"/>
      <c r="CG21" s="7"/>
    </row>
    <row r="22" spans="2:85" ht="14.65" customHeight="1" x14ac:dyDescent="0.2">
      <c r="B22" s="6"/>
      <c r="C22" s="313" t="s">
        <v>401</v>
      </c>
      <c r="D22" s="314"/>
      <c r="E22" s="5"/>
      <c r="F22" s="322" t="str">
        <f>IF(OR(H$14="",H$15="",H$16="",H$17=""),"",
IF(H14="Primary","- primary schools ",IF(H14="Secondary with sixth form","- secondary schools with a sixth form ",IF(H14="Secondary without sixth form","- secondary schools without a sixth form ",IF(H14="Special","- special schools ",IF(H14="Alternative provision","- alternative provision schools ",IF(H14="All-through","- all-through schools ",IF(H14="Nursery","- nursery schools ","")))))))&amp;Calcs!$I29&amp;" (for average teacher cost only)")</f>
        <v>- secondary schools with a sixth form outside London (for average teacher cost only)</v>
      </c>
      <c r="G22" s="322"/>
      <c r="H22" s="322"/>
      <c r="I22" s="5"/>
      <c r="J22" s="322" t="str">
        <f>IF(OR(L$14="",L$15="",L$16="",L$17=""),"",
IF(L14="Primary","- primary schools ",IF(L14="Secondary with sixth form","- secondary schools with a sixth form ",IF(L14="Secondary without sixth form","- secondary schools without a sixth form ",IF(L14="Special","- special schools ",IF(L14="Alternative provision","- alternative provision schools ",IF(L14="All-through","- all-through schools ",IF(L14="Nursery","- nursery schools ","")))))))&amp;Calcs!$I30&amp;" (for average teacher cost only)")</f>
        <v/>
      </c>
      <c r="K22" s="322"/>
      <c r="L22" s="322"/>
      <c r="M22" s="5"/>
      <c r="N22" s="322" t="str">
        <f>IF(OR(P$14="",P$15="",P$16="",P$17=""),"",
IF(P14="Primary","- primary schools ",IF(P14="Secondary with sixth form","- secondary schools with a sixth form ",IF(P14="Secondary without sixth form","- secondary schools without a sixth form ",IF(P14="Special","- special schools ",IF(P14="Alternative provision","- alternative provision schools ",IF(P14="All-through","- all-through schools ",IF(P14="Nursery","- nursery schools ","")))))))&amp;Calcs!$I31&amp;" (for average teacher cost only)")</f>
        <v/>
      </c>
      <c r="O22" s="322"/>
      <c r="P22" s="322"/>
      <c r="Q22" s="5"/>
      <c r="R22" s="322" t="str">
        <f>IF(OR(T$14="",T$15="",T$16="",T$17=""),"",
IF(T14="Primary","- primary schools ",IF(T14="Secondary with sixth form","- secondary schools with a sixth form ",IF(T14="Secondary without sixth form","- secondary schools without a sixth form ",IF(T14="Special","- special schools ",IF(T14="Alternative provision","- alternative provision schools ",IF(T14="All-through","- all-through schools ",IF(T14="Nursery","- nursery schools ","")))))))&amp;Calcs!$I32&amp;" (for average teacher cost only)")</f>
        <v/>
      </c>
      <c r="S22" s="322"/>
      <c r="T22" s="322"/>
      <c r="U22" s="5"/>
      <c r="V22" s="322" t="str">
        <f>IF(OR(X$14="",X$15="",X$16="",X$17=""),"",
IF(X14="Primary","- primary schools ",IF(X14="Secondary with sixth form","- secondary schools with a sixth form ",IF(X14="Secondary without sixth form","- secondary schools without a sixth form ",IF(X14="Special","- special schools ",IF(X14="Alternative provision","- alternative provision schools ",IF(X14="All-through","- all-through schools ",IF(X14="Nursery","- nursery schools ","")))))))&amp;Calcs!$I33&amp;" (for average teacher cost only)")</f>
        <v/>
      </c>
      <c r="W22" s="322"/>
      <c r="X22" s="322"/>
      <c r="Y22" s="5"/>
      <c r="Z22" s="322" t="str">
        <f>IF(OR(AB$14="",AB$15="",AB$16="",AB$17=""),"",
IF(AB14="Primary","- primary schools ",IF(AB14="Secondary with sixth form","- secondary schools with a sixth form ",IF(AB14="Secondary without sixth form","- secondary schools without a sixth form ",IF(AB14="Special","- special schools ",IF(AB14="Alternative provision","- alternative provision schools ",IF(AB14="All-through","- all-through schools ",IF(AB14="Nursery","- nursery schools ","")))))))&amp;Calcs!$I34&amp;" (for average teacher cost only)")</f>
        <v/>
      </c>
      <c r="AA22" s="322"/>
      <c r="AB22" s="322"/>
      <c r="AC22" s="5"/>
      <c r="AD22" s="322" t="str">
        <f>IF(OR(AF$14="",AF$15="",AF$16="",AF$17=""),"",
IF(AF14="Primary","- primary schools ",IF(AF14="Secondary with sixth form","- secondary schools with a sixth form ",IF(AF14="Secondary without sixth form","- secondary schools without a sixth form ",IF(AF14="Special","- special schools ",IF(AF14="Alternative provision","- alternative provision schools ",IF(AF14="All-through","- all-through schools ",IF(AF14="Nursery","- nursery schools ","")))))))&amp;Calcs!$I35&amp;" (for average teacher cost only)")</f>
        <v/>
      </c>
      <c r="AE22" s="322"/>
      <c r="AF22" s="322"/>
      <c r="AG22" s="5"/>
      <c r="AH22" s="322" t="str">
        <f>IF(OR(AJ$14="",AJ$15="",AJ$16="",AJ$17=""),"",
IF(AJ14="Primary","- primary schools ",IF(AJ14="Secondary with sixth form","- secondary schools with a sixth form ",IF(AJ14="Secondary without sixth form","- secondary schools without a sixth form ",IF(AJ14="Special","- special schools ",IF(AJ14="Alternative provision","- alternative provision schools ",IF(AJ14="All-through","- all-through schools ",IF(AJ14="Nursery","- nursery schools ","")))))))&amp;Calcs!$I36&amp;" (for average teacher cost only)")</f>
        <v/>
      </c>
      <c r="AI22" s="322"/>
      <c r="AJ22" s="322"/>
      <c r="AK22" s="5"/>
      <c r="AL22" s="322" t="str">
        <f>IF(OR(AN$14="",AN$15="",AN$16="",AN$17=""),"",
IF(AN14="Primary","- primary schools ",IF(AN14="Secondary with sixth form","- secondary schools with a sixth form ",IF(AN14="Secondary without sixth form","- secondary schools without a sixth form ",IF(AN14="Special","- special schools ",IF(AN14="Alternative provision","- alternative provision schools ",IF(AN14="All-through","- all-through schools ",IF(AN14="Nursery","- nursery schools ","")))))))&amp;Calcs!$I37&amp;" (for average teacher cost only)")</f>
        <v/>
      </c>
      <c r="AM22" s="322"/>
      <c r="AN22" s="322"/>
      <c r="AO22" s="5"/>
      <c r="AP22" s="322" t="str">
        <f>IF(OR(AR$14="",AR$15="",AR$16="",AR$17=""),"",
IF(AR14="Primary","- primary schools ",IF(AR14="Secondary with sixth form","- secondary schools with a sixth form ",IF(AR14="Secondary without sixth form","- secondary schools without a sixth form ",IF(AR14="Special","- special schools ",IF(AR14="Alternative provision","- alternative provision schools ",IF(AR14="All-through","- all-through schools ",IF(AR14="Nursery","- nursery schools ","")))))))&amp;Calcs!$I38&amp;" (for average teacher cost only)")</f>
        <v/>
      </c>
      <c r="AQ22" s="322"/>
      <c r="AR22" s="322"/>
      <c r="AS22" s="5"/>
      <c r="AT22" s="322" t="str">
        <f>IF(OR(AV$14="",AV$15="",AV$16="",AV$17=""),"",
IF(AV14="Primary","- primary schools ",IF(AV14="Secondary with sixth form","- secondary schools with a sixth form ",IF(AV14="Secondary without sixth form","- secondary schools without a sixth form ",IF(AV14="Special","- special schools ",IF(AV14="Alternative provision","- alternative provision schools ",IF(AV14="All-through","- all-through schools ",IF(AV14="Nursery","- nursery schools ","")))))))&amp;Calcs!$I39&amp;" (for average teacher cost only)")</f>
        <v/>
      </c>
      <c r="AU22" s="322"/>
      <c r="AV22" s="322"/>
      <c r="AW22" s="5"/>
      <c r="AX22" s="322" t="str">
        <f>IF(OR(AZ$14="",AZ$15="",AZ$16="",AZ$17=""),"",
IF(AZ14="Primary","- primary schools ",IF(AZ14="Secondary with sixth form","- secondary schools with a sixth form ",IF(AZ14="Secondary without sixth form","- secondary schools without a sixth form ",IF(AZ14="Special","- special schools ",IF(AZ14="Alternative provision","- alternative provision schools ",IF(AZ14="All-through","- all-through schools ",IF(AZ14="Nursery","- nursery schools ","")))))))&amp;Calcs!$I40&amp;" (for average teacher cost only)")</f>
        <v/>
      </c>
      <c r="AY22" s="322"/>
      <c r="AZ22" s="322"/>
      <c r="BA22" s="5"/>
      <c r="BB22" s="322" t="str">
        <f>IF(OR(BD$14="",BD$15="",BD$16="",BD$17=""),"",
IF(BD14="Primary","- primary schools ",IF(BD14="Secondary with sixth form","- secondary schools with a sixth form ",IF(BD14="Secondary without sixth form","- secondary schools without a sixth form ",IF(BD14="Special","- special schools ",IF(BD14="Alternative provision","- alternative provision schools ",IF(BD14="All-through","- all-through schools ",IF(BD14="Nursery","- nursery schools ","")))))))&amp;Calcs!$I41&amp;" (for average teacher cost only)")</f>
        <v/>
      </c>
      <c r="BC22" s="322"/>
      <c r="BD22" s="322"/>
      <c r="BE22" s="5"/>
      <c r="BF22" s="322" t="str">
        <f>IF(OR(BH$14="",BH$15="",BH$16="",BH$17=""),"",
IF(BH14="Primary","- primary schools ",IF(BH14="Secondary with sixth form","- secondary schools with a sixth form ",IF(BH14="Secondary without sixth form","- secondary schools without a sixth form ",IF(BH14="Special","- special schools ",IF(BH14="Alternative provision","- alternative provision schools ",IF(BH14="All-through","- all-through schools ",IF(BH14="Nursery","- nursery schools ","")))))))&amp;Calcs!$I42&amp;" (for average teacher cost only)")</f>
        <v/>
      </c>
      <c r="BG22" s="322"/>
      <c r="BH22" s="322"/>
      <c r="BI22" s="5"/>
      <c r="BJ22" s="322" t="str">
        <f>IF(OR(BL$14="",BL$15="",BL$16="",BL$17=""),"",
IF(BL14="Primary","- primary schools ",IF(BL14="Secondary with sixth form","- secondary schools with a sixth form ",IF(BL14="Secondary without sixth form","- secondary schools without a sixth form ",IF(BL14="Special","- special schools ",IF(BL14="Alternative provision","- alternative provision schools ",IF(BL14="All-through","- all-through schools ",IF(BL14="Nursery","- nursery schools ","")))))))&amp;Calcs!$I43&amp;" (for average teacher cost only)")</f>
        <v/>
      </c>
      <c r="BK22" s="322"/>
      <c r="BL22" s="322"/>
      <c r="BM22" s="5"/>
      <c r="BN22" s="322" t="str">
        <f>IF(OR(BP$14="",BP$15="",BP$16="",BP$17=""),"",
IF(BP14="Primary","- primary schools ",IF(BP14="Secondary with sixth form","- secondary schools with a sixth form ",IF(BP14="Secondary without sixth form","- secondary schools without a sixth form ",IF(BP14="Special","- special schools ",IF(BP14="Alternative provision","- alternative provision schools ",IF(BP14="All-through","- all-through schools ",IF(BP14="Nursery","- nursery schools ","")))))))&amp;Calcs!$I44&amp;" (for average teacher cost only)")</f>
        <v/>
      </c>
      <c r="BO22" s="322"/>
      <c r="BP22" s="322"/>
      <c r="BQ22" s="5"/>
      <c r="BR22" s="322" t="str">
        <f>IF(OR(BT$14="",BT$15="",BT$16="",BT$17=""),"",
IF(BT14="Primary","- primary schools ",IF(BT14="Secondary with sixth form","- secondary schools with a sixth form ",IF(BT14="Secondary without sixth form","- secondary schools without a sixth form ",IF(BT14="Special","- special schools ",IF(BT14="Alternative provision","- alternative provision schools ",IF(BT14="All-through","- all-through schools ",IF(BT14="Nursery","- nursery schools ","")))))))&amp;Calcs!$I45&amp;" (for average teacher cost only)")</f>
        <v/>
      </c>
      <c r="BS22" s="322"/>
      <c r="BT22" s="322"/>
      <c r="BU22" s="5"/>
      <c r="BV22" s="322" t="str">
        <f>IF(OR(BX$14="",BX$15="",BX$16="",BX$17=""),"",
IF(BX14="Primary","- primary schools ",IF(BX14="Secondary with sixth form","- secondary schools with a sixth form ",IF(BX14="Secondary without sixth form","- secondary schools without a sixth form ",IF(BX14="Special","- special schools ",IF(BX14="Alternative provision","- alternative provision schools ",IF(BX14="All-through","- all-through schools ",IF(BX14="Nursery","- nursery schools ","")))))))&amp;Calcs!$I46&amp;" (for average teacher cost only)")</f>
        <v/>
      </c>
      <c r="BW22" s="322"/>
      <c r="BX22" s="322"/>
      <c r="BY22" s="5"/>
      <c r="BZ22" s="322" t="str">
        <f>IF(OR(CB$14="",CB$15="",CB$16="",CB$17=""),"",
IF(CB14="Primary","- primary schools ",IF(CB14="Secondary with sixth form","- secondary schools with a sixth form ",IF(CB14="Secondary without sixth form","- secondary schools without a sixth form ",IF(CB14="Special","- special schools ",IF(CB14="Alternative provision","- alternative provision schools ",IF(CB14="All-through","- all-through schools ",IF(CB14="Nursery","- nursery schools ","")))))))&amp;Calcs!$I47&amp;" (for average teacher cost only)")</f>
        <v/>
      </c>
      <c r="CA22" s="322"/>
      <c r="CB22" s="322"/>
      <c r="CC22" s="5"/>
      <c r="CD22" s="322" t="str">
        <f>IF(OR(CF$14="",CF$15="",CF$16="",CF$17=""),"",
IF(CF14="Primary","- primary schools ",IF(CF14="Secondary with sixth form","- secondary schools with a sixth form ",IF(CF14="Secondary without sixth form","- secondary schools without a sixth form ",IF(CF14="Special","- special schools ",IF(CF14="Alternative provision","- alternative provision schools ",IF(CF14="All-through","- all-through schools ",IF(CF14="Nursery","- nursery schools ","")))))))&amp;Calcs!$I48&amp;" (for average teacher cost only)")</f>
        <v/>
      </c>
      <c r="CE22" s="322"/>
      <c r="CF22" s="322"/>
      <c r="CG22" s="7"/>
    </row>
    <row r="23" spans="2:85" ht="14.65" customHeight="1" x14ac:dyDescent="0.2">
      <c r="B23" s="6"/>
      <c r="C23" s="313"/>
      <c r="D23" s="314"/>
      <c r="E23" s="5"/>
      <c r="F23" s="322"/>
      <c r="G23" s="322"/>
      <c r="H23" s="322"/>
      <c r="I23" s="5"/>
      <c r="J23" s="322"/>
      <c r="K23" s="322"/>
      <c r="L23" s="322"/>
      <c r="M23" s="5"/>
      <c r="N23" s="322"/>
      <c r="O23" s="322"/>
      <c r="P23" s="322"/>
      <c r="Q23" s="5"/>
      <c r="R23" s="322"/>
      <c r="S23" s="322"/>
      <c r="T23" s="322"/>
      <c r="U23" s="5"/>
      <c r="V23" s="322"/>
      <c r="W23" s="322"/>
      <c r="X23" s="322"/>
      <c r="Y23" s="5"/>
      <c r="Z23" s="322"/>
      <c r="AA23" s="322"/>
      <c r="AB23" s="322"/>
      <c r="AC23" s="5"/>
      <c r="AD23" s="322"/>
      <c r="AE23" s="322"/>
      <c r="AF23" s="322"/>
      <c r="AG23" s="5"/>
      <c r="AH23" s="322"/>
      <c r="AI23" s="322"/>
      <c r="AJ23" s="322"/>
      <c r="AK23" s="5"/>
      <c r="AL23" s="322"/>
      <c r="AM23" s="322"/>
      <c r="AN23" s="322"/>
      <c r="AO23" s="5"/>
      <c r="AP23" s="322"/>
      <c r="AQ23" s="322"/>
      <c r="AR23" s="322"/>
      <c r="AS23" s="5"/>
      <c r="AT23" s="322"/>
      <c r="AU23" s="322"/>
      <c r="AV23" s="322"/>
      <c r="AW23" s="5"/>
      <c r="AX23" s="322"/>
      <c r="AY23" s="322"/>
      <c r="AZ23" s="322"/>
      <c r="BA23" s="5"/>
      <c r="BB23" s="322"/>
      <c r="BC23" s="322"/>
      <c r="BD23" s="322"/>
      <c r="BE23" s="5"/>
      <c r="BF23" s="322"/>
      <c r="BG23" s="322"/>
      <c r="BH23" s="322"/>
      <c r="BI23" s="5"/>
      <c r="BJ23" s="322"/>
      <c r="BK23" s="322"/>
      <c r="BL23" s="322"/>
      <c r="BM23" s="5"/>
      <c r="BN23" s="322"/>
      <c r="BO23" s="322"/>
      <c r="BP23" s="322"/>
      <c r="BQ23" s="5"/>
      <c r="BR23" s="322"/>
      <c r="BS23" s="322"/>
      <c r="BT23" s="322"/>
      <c r="BU23" s="5"/>
      <c r="BV23" s="322"/>
      <c r="BW23" s="322"/>
      <c r="BX23" s="322"/>
      <c r="BY23" s="5"/>
      <c r="BZ23" s="322"/>
      <c r="CA23" s="322"/>
      <c r="CB23" s="322"/>
      <c r="CC23" s="5"/>
      <c r="CD23" s="322"/>
      <c r="CE23" s="322"/>
      <c r="CF23" s="322"/>
      <c r="CG23" s="7"/>
    </row>
    <row r="24" spans="2:85" ht="25.35" customHeight="1" x14ac:dyDescent="0.2">
      <c r="B24" s="6"/>
      <c r="C24" s="313"/>
      <c r="D24" s="314"/>
      <c r="E24" s="5"/>
      <c r="F24" s="234"/>
      <c r="G24" s="234"/>
      <c r="H24" s="234"/>
      <c r="I24" s="5"/>
      <c r="J24" s="234"/>
      <c r="K24" s="234"/>
      <c r="L24" s="234"/>
      <c r="M24" s="5"/>
      <c r="N24" s="234"/>
      <c r="O24" s="234"/>
      <c r="P24" s="234"/>
      <c r="Q24" s="5"/>
      <c r="R24" s="234"/>
      <c r="S24" s="234"/>
      <c r="T24" s="234"/>
      <c r="U24" s="5"/>
      <c r="V24" s="234"/>
      <c r="W24" s="234"/>
      <c r="X24" s="234"/>
      <c r="Y24" s="5"/>
      <c r="Z24" s="234"/>
      <c r="AA24" s="234"/>
      <c r="AB24" s="234"/>
      <c r="AC24" s="5"/>
      <c r="AD24" s="234"/>
      <c r="AE24" s="234"/>
      <c r="AF24" s="234"/>
      <c r="AG24" s="5"/>
      <c r="AH24" s="234"/>
      <c r="AI24" s="234"/>
      <c r="AJ24" s="234"/>
      <c r="AK24" s="5"/>
      <c r="AL24" s="234"/>
      <c r="AM24" s="234"/>
      <c r="AN24" s="234"/>
      <c r="AO24" s="5"/>
      <c r="AP24" s="234"/>
      <c r="AQ24" s="234"/>
      <c r="AR24" s="234"/>
      <c r="AS24" s="5"/>
      <c r="AT24" s="234"/>
      <c r="AU24" s="234"/>
      <c r="AV24" s="234"/>
      <c r="AW24" s="5"/>
      <c r="AX24" s="234"/>
      <c r="AY24" s="234"/>
      <c r="AZ24" s="234"/>
      <c r="BA24" s="5"/>
      <c r="BB24" s="234"/>
      <c r="BC24" s="234"/>
      <c r="BD24" s="234"/>
      <c r="BE24" s="5"/>
      <c r="BF24" s="234"/>
      <c r="BG24" s="234"/>
      <c r="BH24" s="234"/>
      <c r="BI24" s="5"/>
      <c r="BJ24" s="234"/>
      <c r="BK24" s="234"/>
      <c r="BL24" s="234"/>
      <c r="BM24" s="5"/>
      <c r="BN24" s="234"/>
      <c r="BO24" s="234"/>
      <c r="BP24" s="234"/>
      <c r="BQ24" s="5"/>
      <c r="BR24" s="234"/>
      <c r="BS24" s="234"/>
      <c r="BT24" s="234"/>
      <c r="BU24" s="5"/>
      <c r="BV24" s="234"/>
      <c r="BW24" s="234"/>
      <c r="BX24" s="234"/>
      <c r="BY24" s="5"/>
      <c r="BZ24" s="234"/>
      <c r="CA24" s="234"/>
      <c r="CB24" s="234"/>
      <c r="CC24" s="5"/>
      <c r="CD24" s="234"/>
      <c r="CE24" s="234"/>
      <c r="CF24" s="234"/>
      <c r="CG24" s="7"/>
    </row>
    <row r="25" spans="2:85" ht="14.65" customHeight="1" x14ac:dyDescent="0.25">
      <c r="B25" s="6"/>
      <c r="C25" s="318" t="s">
        <v>400</v>
      </c>
      <c r="D25" s="319"/>
      <c r="E25" s="5"/>
      <c r="F25" s="334"/>
      <c r="G25" s="334"/>
      <c r="H25" s="334"/>
      <c r="I25" s="5"/>
      <c r="J25" s="160"/>
      <c r="K25" s="160"/>
      <c r="L25" s="160"/>
      <c r="M25" s="5"/>
      <c r="N25" s="160"/>
      <c r="O25" s="160"/>
      <c r="P25" s="160"/>
      <c r="Q25" s="5"/>
      <c r="R25" s="160"/>
      <c r="S25" s="160"/>
      <c r="T25" s="160"/>
      <c r="U25" s="5"/>
      <c r="V25" s="160"/>
      <c r="W25" s="160"/>
      <c r="X25" s="160"/>
      <c r="Y25" s="5"/>
      <c r="Z25" s="160"/>
      <c r="AA25" s="160"/>
      <c r="AB25" s="160"/>
      <c r="AC25" s="5"/>
      <c r="AD25" s="160"/>
      <c r="AE25" s="160"/>
      <c r="AF25" s="160"/>
      <c r="AG25" s="5"/>
      <c r="AH25" s="160"/>
      <c r="AI25" s="160"/>
      <c r="AJ25" s="160"/>
      <c r="AK25" s="5"/>
      <c r="AL25" s="160"/>
      <c r="AM25" s="160"/>
      <c r="AN25" s="160"/>
      <c r="AO25" s="5"/>
      <c r="AP25" s="160"/>
      <c r="AQ25" s="160"/>
      <c r="AR25" s="160"/>
      <c r="AS25" s="5"/>
      <c r="AT25" s="160"/>
      <c r="AU25" s="160"/>
      <c r="AV25" s="160"/>
      <c r="AW25" s="5"/>
      <c r="AX25" s="160"/>
      <c r="AY25" s="160"/>
      <c r="AZ25" s="160"/>
      <c r="BA25" s="5"/>
      <c r="BB25" s="160"/>
      <c r="BC25" s="160"/>
      <c r="BD25" s="160"/>
      <c r="BE25" s="5"/>
      <c r="BF25" s="160"/>
      <c r="BG25" s="160"/>
      <c r="BH25" s="160"/>
      <c r="BI25" s="5"/>
      <c r="BJ25" s="160"/>
      <c r="BK25" s="160"/>
      <c r="BL25" s="160"/>
      <c r="BM25" s="5"/>
      <c r="BN25" s="160"/>
      <c r="BO25" s="160"/>
      <c r="BP25" s="160"/>
      <c r="BQ25" s="5"/>
      <c r="BR25" s="160"/>
      <c r="BS25" s="160"/>
      <c r="BT25" s="160"/>
      <c r="BU25" s="5"/>
      <c r="BV25" s="160"/>
      <c r="BW25" s="160"/>
      <c r="BX25" s="160"/>
      <c r="BY25" s="5"/>
      <c r="BZ25" s="160"/>
      <c r="CA25" s="160"/>
      <c r="CB25" s="160"/>
      <c r="CC25" s="5"/>
      <c r="CD25" s="160"/>
      <c r="CE25" s="160"/>
      <c r="CF25" s="160"/>
      <c r="CG25" s="7"/>
    </row>
    <row r="26" spans="2:85" ht="14.65" customHeight="1" x14ac:dyDescent="0.2">
      <c r="B26" s="6"/>
      <c r="C26" s="318"/>
      <c r="D26" s="319"/>
      <c r="E26" s="5"/>
      <c r="F26" s="160"/>
      <c r="G26" s="160"/>
      <c r="H26" s="160"/>
      <c r="I26" s="5"/>
      <c r="J26" s="160"/>
      <c r="K26" s="160"/>
      <c r="L26" s="160"/>
      <c r="M26" s="5"/>
      <c r="N26" s="160"/>
      <c r="O26" s="160"/>
      <c r="P26" s="160"/>
      <c r="Q26" s="5"/>
      <c r="R26" s="160"/>
      <c r="S26" s="160"/>
      <c r="T26" s="160"/>
      <c r="U26" s="5"/>
      <c r="V26" s="160"/>
      <c r="W26" s="160"/>
      <c r="X26" s="160"/>
      <c r="Y26" s="5"/>
      <c r="Z26" s="160"/>
      <c r="AA26" s="160"/>
      <c r="AB26" s="160"/>
      <c r="AC26" s="5"/>
      <c r="AD26" s="160"/>
      <c r="AE26" s="160"/>
      <c r="AF26" s="160"/>
      <c r="AG26" s="5"/>
      <c r="AH26" s="160"/>
      <c r="AI26" s="160"/>
      <c r="AJ26" s="160"/>
      <c r="AK26" s="5"/>
      <c r="AL26" s="160"/>
      <c r="AM26" s="160"/>
      <c r="AN26" s="160"/>
      <c r="AO26" s="5"/>
      <c r="AP26" s="160"/>
      <c r="AQ26" s="160"/>
      <c r="AR26" s="160"/>
      <c r="AS26" s="5"/>
      <c r="AT26" s="160"/>
      <c r="AU26" s="160"/>
      <c r="AV26" s="160"/>
      <c r="AW26" s="5"/>
      <c r="AX26" s="160"/>
      <c r="AY26" s="160"/>
      <c r="AZ26" s="160"/>
      <c r="BA26" s="5"/>
      <c r="BB26" s="160"/>
      <c r="BC26" s="160"/>
      <c r="BD26" s="160"/>
      <c r="BE26" s="5"/>
      <c r="BF26" s="160"/>
      <c r="BG26" s="160"/>
      <c r="BH26" s="160"/>
      <c r="BI26" s="5"/>
      <c r="BJ26" s="160"/>
      <c r="BK26" s="160"/>
      <c r="BL26" s="160"/>
      <c r="BM26" s="5"/>
      <c r="BN26" s="160"/>
      <c r="BO26" s="160"/>
      <c r="BP26" s="160"/>
      <c r="BQ26" s="5"/>
      <c r="BR26" s="160"/>
      <c r="BS26" s="160"/>
      <c r="BT26" s="160"/>
      <c r="BU26" s="5"/>
      <c r="BV26" s="160"/>
      <c r="BW26" s="160"/>
      <c r="BX26" s="160"/>
      <c r="BY26" s="5"/>
      <c r="BZ26" s="160"/>
      <c r="CA26" s="160"/>
      <c r="CB26" s="160"/>
      <c r="CC26" s="5"/>
      <c r="CD26" s="160"/>
      <c r="CE26" s="160"/>
      <c r="CF26" s="160"/>
      <c r="CG26" s="7"/>
    </row>
    <row r="27" spans="2:85" ht="14.65" customHeight="1" x14ac:dyDescent="0.2">
      <c r="B27" s="6"/>
      <c r="C27" s="320"/>
      <c r="D27" s="321"/>
      <c r="E27" s="5"/>
      <c r="F27" s="317" t="s">
        <v>332</v>
      </c>
      <c r="G27" s="317"/>
      <c r="H27" s="317"/>
      <c r="I27" s="5"/>
      <c r="J27" s="317" t="s">
        <v>332</v>
      </c>
      <c r="K27" s="317"/>
      <c r="L27" s="317"/>
      <c r="M27" s="5"/>
      <c r="N27" s="317" t="s">
        <v>332</v>
      </c>
      <c r="O27" s="317"/>
      <c r="P27" s="317"/>
      <c r="Q27" s="5"/>
      <c r="R27" s="317" t="s">
        <v>332</v>
      </c>
      <c r="S27" s="317"/>
      <c r="T27" s="317"/>
      <c r="U27" s="5"/>
      <c r="V27" s="317" t="s">
        <v>332</v>
      </c>
      <c r="W27" s="317"/>
      <c r="X27" s="317"/>
      <c r="Y27" s="5"/>
      <c r="Z27" s="317" t="s">
        <v>332</v>
      </c>
      <c r="AA27" s="317"/>
      <c r="AB27" s="317"/>
      <c r="AC27" s="5"/>
      <c r="AD27" s="317" t="s">
        <v>332</v>
      </c>
      <c r="AE27" s="317"/>
      <c r="AF27" s="317"/>
      <c r="AG27" s="5"/>
      <c r="AH27" s="317" t="s">
        <v>332</v>
      </c>
      <c r="AI27" s="317"/>
      <c r="AJ27" s="317"/>
      <c r="AK27" s="5"/>
      <c r="AL27" s="317" t="s">
        <v>332</v>
      </c>
      <c r="AM27" s="317"/>
      <c r="AN27" s="317"/>
      <c r="AO27" s="5"/>
      <c r="AP27" s="317" t="s">
        <v>332</v>
      </c>
      <c r="AQ27" s="317"/>
      <c r="AR27" s="317"/>
      <c r="AS27" s="5"/>
      <c r="AT27" s="317" t="s">
        <v>332</v>
      </c>
      <c r="AU27" s="317"/>
      <c r="AV27" s="317"/>
      <c r="AW27" s="5"/>
      <c r="AX27" s="317" t="s">
        <v>332</v>
      </c>
      <c r="AY27" s="317"/>
      <c r="AZ27" s="317"/>
      <c r="BA27" s="5"/>
      <c r="BB27" s="317" t="s">
        <v>332</v>
      </c>
      <c r="BC27" s="317"/>
      <c r="BD27" s="317"/>
      <c r="BE27" s="5"/>
      <c r="BF27" s="317" t="s">
        <v>332</v>
      </c>
      <c r="BG27" s="317"/>
      <c r="BH27" s="317"/>
      <c r="BI27" s="5"/>
      <c r="BJ27" s="317" t="s">
        <v>332</v>
      </c>
      <c r="BK27" s="317"/>
      <c r="BL27" s="317"/>
      <c r="BM27" s="5"/>
      <c r="BN27" s="317" t="s">
        <v>332</v>
      </c>
      <c r="BO27" s="317"/>
      <c r="BP27" s="317"/>
      <c r="BQ27" s="5"/>
      <c r="BR27" s="317" t="s">
        <v>332</v>
      </c>
      <c r="BS27" s="317"/>
      <c r="BT27" s="317"/>
      <c r="BU27" s="5"/>
      <c r="BV27" s="317" t="s">
        <v>332</v>
      </c>
      <c r="BW27" s="317"/>
      <c r="BX27" s="317"/>
      <c r="BY27" s="5"/>
      <c r="BZ27" s="317" t="s">
        <v>332</v>
      </c>
      <c r="CA27" s="317"/>
      <c r="CB27" s="317"/>
      <c r="CC27" s="5"/>
      <c r="CD27" s="317" t="s">
        <v>332</v>
      </c>
      <c r="CE27" s="317"/>
      <c r="CF27" s="317"/>
      <c r="CG27" s="7"/>
    </row>
    <row r="28" spans="2:85" ht="14.65" customHeight="1" x14ac:dyDescent="0.2">
      <c r="B28" s="6"/>
      <c r="E28" s="5"/>
      <c r="F28" s="317"/>
      <c r="G28" s="317"/>
      <c r="H28" s="317"/>
      <c r="I28" s="5"/>
      <c r="J28" s="317"/>
      <c r="K28" s="317"/>
      <c r="L28" s="317"/>
      <c r="M28" s="5"/>
      <c r="N28" s="317"/>
      <c r="O28" s="317"/>
      <c r="P28" s="317"/>
      <c r="Q28" s="5"/>
      <c r="R28" s="317"/>
      <c r="S28" s="317"/>
      <c r="T28" s="317"/>
      <c r="U28" s="5"/>
      <c r="V28" s="317"/>
      <c r="W28" s="317"/>
      <c r="X28" s="317"/>
      <c r="Y28" s="5"/>
      <c r="Z28" s="317"/>
      <c r="AA28" s="317"/>
      <c r="AB28" s="317"/>
      <c r="AC28" s="5"/>
      <c r="AD28" s="317"/>
      <c r="AE28" s="317"/>
      <c r="AF28" s="317"/>
      <c r="AG28" s="5"/>
      <c r="AH28" s="317"/>
      <c r="AI28" s="317"/>
      <c r="AJ28" s="317"/>
      <c r="AK28" s="5"/>
      <c r="AL28" s="317"/>
      <c r="AM28" s="317"/>
      <c r="AN28" s="317"/>
      <c r="AO28" s="5"/>
      <c r="AP28" s="317"/>
      <c r="AQ28" s="317"/>
      <c r="AR28" s="317"/>
      <c r="AS28" s="5"/>
      <c r="AT28" s="317"/>
      <c r="AU28" s="317"/>
      <c r="AV28" s="317"/>
      <c r="AW28" s="5"/>
      <c r="AX28" s="317"/>
      <c r="AY28" s="317"/>
      <c r="AZ28" s="317"/>
      <c r="BA28" s="5"/>
      <c r="BB28" s="317"/>
      <c r="BC28" s="317"/>
      <c r="BD28" s="317"/>
      <c r="BE28" s="5"/>
      <c r="BF28" s="317"/>
      <c r="BG28" s="317"/>
      <c r="BH28" s="317"/>
      <c r="BI28" s="5"/>
      <c r="BJ28" s="317"/>
      <c r="BK28" s="317"/>
      <c r="BL28" s="317"/>
      <c r="BM28" s="5"/>
      <c r="BN28" s="317"/>
      <c r="BO28" s="317"/>
      <c r="BP28" s="317"/>
      <c r="BQ28" s="5"/>
      <c r="BR28" s="317"/>
      <c r="BS28" s="317"/>
      <c r="BT28" s="317"/>
      <c r="BU28" s="5"/>
      <c r="BV28" s="317"/>
      <c r="BW28" s="317"/>
      <c r="BX28" s="317"/>
      <c r="BY28" s="5"/>
      <c r="BZ28" s="317"/>
      <c r="CA28" s="317"/>
      <c r="CB28" s="317"/>
      <c r="CC28" s="5"/>
      <c r="CD28" s="317"/>
      <c r="CE28" s="317"/>
      <c r="CF28" s="317"/>
      <c r="CG28" s="7"/>
    </row>
    <row r="29" spans="2:85" ht="14.65" customHeight="1" x14ac:dyDescent="0.2">
      <c r="B29" s="6"/>
      <c r="C29" s="311" t="s">
        <v>333</v>
      </c>
      <c r="D29" s="312"/>
      <c r="E29" s="5"/>
      <c r="F29" s="317"/>
      <c r="G29" s="317"/>
      <c r="H29" s="317"/>
      <c r="I29" s="5"/>
      <c r="J29" s="317"/>
      <c r="K29" s="317"/>
      <c r="L29" s="317"/>
      <c r="M29" s="5"/>
      <c r="N29" s="317"/>
      <c r="O29" s="317"/>
      <c r="P29" s="317"/>
      <c r="Q29" s="5"/>
      <c r="R29" s="317"/>
      <c r="S29" s="317"/>
      <c r="T29" s="317"/>
      <c r="U29" s="5"/>
      <c r="V29" s="317"/>
      <c r="W29" s="317"/>
      <c r="X29" s="317"/>
      <c r="Y29" s="5"/>
      <c r="Z29" s="317"/>
      <c r="AA29" s="317"/>
      <c r="AB29" s="317"/>
      <c r="AC29" s="5"/>
      <c r="AD29" s="317"/>
      <c r="AE29" s="317"/>
      <c r="AF29" s="317"/>
      <c r="AG29" s="5"/>
      <c r="AH29" s="317"/>
      <c r="AI29" s="317"/>
      <c r="AJ29" s="317"/>
      <c r="AK29" s="5"/>
      <c r="AL29" s="317"/>
      <c r="AM29" s="317"/>
      <c r="AN29" s="317"/>
      <c r="AO29" s="5"/>
      <c r="AP29" s="317"/>
      <c r="AQ29" s="317"/>
      <c r="AR29" s="317"/>
      <c r="AS29" s="5"/>
      <c r="AT29" s="317"/>
      <c r="AU29" s="317"/>
      <c r="AV29" s="317"/>
      <c r="AW29" s="5"/>
      <c r="AX29" s="317"/>
      <c r="AY29" s="317"/>
      <c r="AZ29" s="317"/>
      <c r="BA29" s="5"/>
      <c r="BB29" s="317"/>
      <c r="BC29" s="317"/>
      <c r="BD29" s="317"/>
      <c r="BE29" s="5"/>
      <c r="BF29" s="317"/>
      <c r="BG29" s="317"/>
      <c r="BH29" s="317"/>
      <c r="BI29" s="5"/>
      <c r="BJ29" s="317"/>
      <c r="BK29" s="317"/>
      <c r="BL29" s="317"/>
      <c r="BM29" s="5"/>
      <c r="BN29" s="317"/>
      <c r="BO29" s="317"/>
      <c r="BP29" s="317"/>
      <c r="BQ29" s="5"/>
      <c r="BR29" s="317"/>
      <c r="BS29" s="317"/>
      <c r="BT29" s="317"/>
      <c r="BU29" s="5"/>
      <c r="BV29" s="317"/>
      <c r="BW29" s="317"/>
      <c r="BX29" s="317"/>
      <c r="BY29" s="5"/>
      <c r="BZ29" s="317"/>
      <c r="CA29" s="317"/>
      <c r="CB29" s="317"/>
      <c r="CC29" s="5"/>
      <c r="CD29" s="317"/>
      <c r="CE29" s="317"/>
      <c r="CF29" s="317"/>
      <c r="CG29" s="7"/>
    </row>
    <row r="30" spans="2:85" ht="14.65" customHeight="1" x14ac:dyDescent="0.2">
      <c r="B30" s="6"/>
      <c r="C30" s="313"/>
      <c r="D30" s="314"/>
      <c r="E30" s="5"/>
      <c r="F30" s="300"/>
      <c r="G30" s="300"/>
      <c r="H30" s="300"/>
      <c r="I30" s="5"/>
      <c r="J30" s="300"/>
      <c r="K30" s="300"/>
      <c r="L30" s="300"/>
      <c r="M30" s="5"/>
      <c r="N30" s="300"/>
      <c r="O30" s="300"/>
      <c r="P30" s="300"/>
      <c r="Q30" s="5"/>
      <c r="R30" s="300"/>
      <c r="S30" s="300"/>
      <c r="T30" s="300"/>
      <c r="U30" s="5"/>
      <c r="V30" s="300"/>
      <c r="W30" s="300"/>
      <c r="X30" s="300"/>
      <c r="Y30" s="5"/>
      <c r="Z30" s="300"/>
      <c r="AA30" s="300"/>
      <c r="AB30" s="300"/>
      <c r="AC30" s="5"/>
      <c r="AD30" s="300"/>
      <c r="AE30" s="300"/>
      <c r="AF30" s="300"/>
      <c r="AG30" s="5"/>
      <c r="AH30" s="300"/>
      <c r="AI30" s="300"/>
      <c r="AJ30" s="300"/>
      <c r="AK30" s="5"/>
      <c r="AL30" s="300"/>
      <c r="AM30" s="300"/>
      <c r="AN30" s="300"/>
      <c r="AO30" s="5"/>
      <c r="AP30" s="300"/>
      <c r="AQ30" s="300"/>
      <c r="AR30" s="300"/>
      <c r="AS30" s="5"/>
      <c r="AT30" s="300"/>
      <c r="AU30" s="300"/>
      <c r="AV30" s="300"/>
      <c r="AW30" s="5"/>
      <c r="AX30" s="300"/>
      <c r="AY30" s="300"/>
      <c r="AZ30" s="300"/>
      <c r="BA30" s="5"/>
      <c r="BB30" s="300"/>
      <c r="BC30" s="300"/>
      <c r="BD30" s="300"/>
      <c r="BE30" s="5"/>
      <c r="BF30" s="300"/>
      <c r="BG30" s="300"/>
      <c r="BH30" s="300"/>
      <c r="BI30" s="5"/>
      <c r="BJ30" s="300"/>
      <c r="BK30" s="300"/>
      <c r="BL30" s="300"/>
      <c r="BM30" s="5"/>
      <c r="BN30" s="300"/>
      <c r="BO30" s="300"/>
      <c r="BP30" s="300"/>
      <c r="BQ30" s="5"/>
      <c r="BR30" s="300"/>
      <c r="BS30" s="300"/>
      <c r="BT30" s="300"/>
      <c r="BU30" s="5"/>
      <c r="BV30" s="300"/>
      <c r="BW30" s="300"/>
      <c r="BX30" s="300"/>
      <c r="BY30" s="5"/>
      <c r="BZ30" s="300"/>
      <c r="CA30" s="300"/>
      <c r="CB30" s="300"/>
      <c r="CC30" s="5"/>
      <c r="CD30" s="300"/>
      <c r="CE30" s="300"/>
      <c r="CF30" s="300"/>
      <c r="CG30" s="7"/>
    </row>
    <row r="31" spans="2:85" ht="14.65" customHeight="1" x14ac:dyDescent="0.2">
      <c r="B31" s="6"/>
      <c r="C31" s="313"/>
      <c r="D31" s="314"/>
      <c r="E31" s="5"/>
      <c r="F31" s="300"/>
      <c r="G31" s="300"/>
      <c r="H31" s="300"/>
      <c r="I31" s="5"/>
      <c r="J31" s="300"/>
      <c r="K31" s="300"/>
      <c r="L31" s="300"/>
      <c r="M31" s="5"/>
      <c r="N31" s="300"/>
      <c r="O31" s="300"/>
      <c r="P31" s="300"/>
      <c r="Q31" s="5"/>
      <c r="R31" s="300"/>
      <c r="S31" s="300"/>
      <c r="T31" s="300"/>
      <c r="U31" s="5"/>
      <c r="V31" s="300"/>
      <c r="W31" s="300"/>
      <c r="X31" s="300"/>
      <c r="Y31" s="5"/>
      <c r="Z31" s="300"/>
      <c r="AA31" s="300"/>
      <c r="AB31" s="300"/>
      <c r="AC31" s="5"/>
      <c r="AD31" s="300"/>
      <c r="AE31" s="300"/>
      <c r="AF31" s="300"/>
      <c r="AG31" s="5"/>
      <c r="AH31" s="300"/>
      <c r="AI31" s="300"/>
      <c r="AJ31" s="300"/>
      <c r="AK31" s="5"/>
      <c r="AL31" s="300"/>
      <c r="AM31" s="300"/>
      <c r="AN31" s="300"/>
      <c r="AO31" s="5"/>
      <c r="AP31" s="300"/>
      <c r="AQ31" s="300"/>
      <c r="AR31" s="300"/>
      <c r="AS31" s="5"/>
      <c r="AT31" s="300"/>
      <c r="AU31" s="300"/>
      <c r="AV31" s="300"/>
      <c r="AW31" s="5"/>
      <c r="AX31" s="300"/>
      <c r="AY31" s="300"/>
      <c r="AZ31" s="300"/>
      <c r="BA31" s="5"/>
      <c r="BB31" s="300"/>
      <c r="BC31" s="300"/>
      <c r="BD31" s="300"/>
      <c r="BE31" s="5"/>
      <c r="BF31" s="300"/>
      <c r="BG31" s="300"/>
      <c r="BH31" s="300"/>
      <c r="BI31" s="5"/>
      <c r="BJ31" s="300"/>
      <c r="BK31" s="300"/>
      <c r="BL31" s="300"/>
      <c r="BM31" s="5"/>
      <c r="BN31" s="300"/>
      <c r="BO31" s="300"/>
      <c r="BP31" s="300"/>
      <c r="BQ31" s="5"/>
      <c r="BR31" s="300"/>
      <c r="BS31" s="300"/>
      <c r="BT31" s="300"/>
      <c r="BU31" s="5"/>
      <c r="BV31" s="300"/>
      <c r="BW31" s="300"/>
      <c r="BX31" s="300"/>
      <c r="BY31" s="5"/>
      <c r="BZ31" s="300"/>
      <c r="CA31" s="300"/>
      <c r="CB31" s="300"/>
      <c r="CC31" s="5"/>
      <c r="CD31" s="300"/>
      <c r="CE31" s="300"/>
      <c r="CF31" s="300"/>
      <c r="CG31" s="7"/>
    </row>
    <row r="32" spans="2:85" ht="14.65" customHeight="1" x14ac:dyDescent="0.2">
      <c r="B32" s="6"/>
      <c r="C32" s="315"/>
      <c r="D32" s="31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7"/>
    </row>
    <row r="33" spans="2:85" ht="14.65" customHeight="1" x14ac:dyDescent="0.2">
      <c r="B33" s="6"/>
      <c r="F33" s="153"/>
      <c r="J33" s="153"/>
      <c r="N33" s="153"/>
      <c r="R33" s="153"/>
      <c r="V33" s="153"/>
      <c r="Z33" s="153"/>
      <c r="AD33" s="153"/>
      <c r="AH33" s="153"/>
      <c r="AL33" s="153"/>
      <c r="AP33" s="153"/>
      <c r="AT33" s="153"/>
      <c r="AX33" s="153"/>
      <c r="BB33" s="153"/>
      <c r="BF33" s="153"/>
      <c r="BJ33" s="153"/>
      <c r="BN33" s="153"/>
      <c r="BR33" s="153"/>
      <c r="BV33" s="153"/>
      <c r="BZ33" s="153"/>
      <c r="CD33" s="153"/>
      <c r="CG33" s="9"/>
    </row>
    <row r="34" spans="2:85" ht="15.4" customHeight="1" x14ac:dyDescent="0.2">
      <c r="B34" s="6"/>
      <c r="F34" s="298" t="s">
        <v>259</v>
      </c>
      <c r="G34" s="227"/>
      <c r="H34" s="299" t="s">
        <v>23</v>
      </c>
      <c r="J34" s="298" t="s">
        <v>259</v>
      </c>
      <c r="K34" s="227"/>
      <c r="L34" s="299" t="s">
        <v>23</v>
      </c>
      <c r="N34" s="298" t="s">
        <v>259</v>
      </c>
      <c r="O34" s="227"/>
      <c r="P34" s="299" t="s">
        <v>23</v>
      </c>
      <c r="R34" s="298" t="s">
        <v>259</v>
      </c>
      <c r="S34" s="227"/>
      <c r="T34" s="299" t="s">
        <v>23</v>
      </c>
      <c r="V34" s="298" t="s">
        <v>259</v>
      </c>
      <c r="W34" s="227"/>
      <c r="X34" s="299" t="s">
        <v>23</v>
      </c>
      <c r="Z34" s="298" t="s">
        <v>259</v>
      </c>
      <c r="AA34" s="227"/>
      <c r="AB34" s="299" t="s">
        <v>23</v>
      </c>
      <c r="AD34" s="298" t="s">
        <v>259</v>
      </c>
      <c r="AE34" s="227"/>
      <c r="AF34" s="299" t="s">
        <v>23</v>
      </c>
      <c r="AH34" s="298" t="s">
        <v>259</v>
      </c>
      <c r="AI34" s="227"/>
      <c r="AJ34" s="299" t="s">
        <v>23</v>
      </c>
      <c r="AL34" s="298" t="s">
        <v>259</v>
      </c>
      <c r="AM34" s="227"/>
      <c r="AN34" s="299" t="s">
        <v>23</v>
      </c>
      <c r="AP34" s="298" t="s">
        <v>259</v>
      </c>
      <c r="AQ34" s="227"/>
      <c r="AR34" s="299" t="s">
        <v>23</v>
      </c>
      <c r="AT34" s="298" t="s">
        <v>259</v>
      </c>
      <c r="AU34" s="227"/>
      <c r="AV34" s="299" t="s">
        <v>23</v>
      </c>
      <c r="AX34" s="298" t="s">
        <v>259</v>
      </c>
      <c r="AY34" s="227"/>
      <c r="AZ34" s="299" t="s">
        <v>23</v>
      </c>
      <c r="BB34" s="298" t="s">
        <v>259</v>
      </c>
      <c r="BC34" s="227"/>
      <c r="BD34" s="299" t="s">
        <v>23</v>
      </c>
      <c r="BF34" s="298" t="s">
        <v>259</v>
      </c>
      <c r="BG34" s="227"/>
      <c r="BH34" s="299" t="s">
        <v>23</v>
      </c>
      <c r="BJ34" s="298" t="s">
        <v>259</v>
      </c>
      <c r="BK34" s="227"/>
      <c r="BL34" s="299" t="s">
        <v>23</v>
      </c>
      <c r="BN34" s="298" t="s">
        <v>259</v>
      </c>
      <c r="BO34" s="227"/>
      <c r="BP34" s="299" t="s">
        <v>23</v>
      </c>
      <c r="BR34" s="298" t="s">
        <v>259</v>
      </c>
      <c r="BS34" s="227"/>
      <c r="BT34" s="299" t="s">
        <v>23</v>
      </c>
      <c r="BV34" s="298" t="s">
        <v>259</v>
      </c>
      <c r="BW34" s="227"/>
      <c r="BX34" s="299" t="s">
        <v>23</v>
      </c>
      <c r="BZ34" s="298" t="s">
        <v>259</v>
      </c>
      <c r="CA34" s="227"/>
      <c r="CB34" s="299" t="s">
        <v>23</v>
      </c>
      <c r="CD34" s="298" t="s">
        <v>259</v>
      </c>
      <c r="CE34" s="227"/>
      <c r="CF34" s="299" t="s">
        <v>23</v>
      </c>
      <c r="CG34" s="7"/>
    </row>
    <row r="35" spans="2:85" ht="15.4" customHeight="1" x14ac:dyDescent="0.2">
      <c r="B35" s="6"/>
      <c r="C35" s="5"/>
      <c r="F35" s="298"/>
      <c r="G35" s="227"/>
      <c r="H35" s="299"/>
      <c r="J35" s="298"/>
      <c r="K35" s="227"/>
      <c r="L35" s="299"/>
      <c r="N35" s="298"/>
      <c r="O35" s="227"/>
      <c r="P35" s="299"/>
      <c r="R35" s="298"/>
      <c r="S35" s="227"/>
      <c r="T35" s="299"/>
      <c r="V35" s="298"/>
      <c r="W35" s="227"/>
      <c r="X35" s="299"/>
      <c r="Z35" s="298"/>
      <c r="AA35" s="227"/>
      <c r="AB35" s="299"/>
      <c r="AD35" s="298"/>
      <c r="AE35" s="227"/>
      <c r="AF35" s="299"/>
      <c r="AH35" s="298"/>
      <c r="AI35" s="227"/>
      <c r="AJ35" s="299"/>
      <c r="AL35" s="298"/>
      <c r="AM35" s="227"/>
      <c r="AN35" s="299"/>
      <c r="AP35" s="298"/>
      <c r="AQ35" s="227"/>
      <c r="AR35" s="299"/>
      <c r="AT35" s="298"/>
      <c r="AU35" s="227"/>
      <c r="AV35" s="299"/>
      <c r="AX35" s="298"/>
      <c r="AY35" s="227"/>
      <c r="AZ35" s="299"/>
      <c r="BB35" s="298"/>
      <c r="BC35" s="227"/>
      <c r="BD35" s="299"/>
      <c r="BF35" s="298"/>
      <c r="BG35" s="227"/>
      <c r="BH35" s="299"/>
      <c r="BJ35" s="298"/>
      <c r="BK35" s="227"/>
      <c r="BL35" s="299"/>
      <c r="BN35" s="298"/>
      <c r="BO35" s="227"/>
      <c r="BP35" s="299"/>
      <c r="BR35" s="298"/>
      <c r="BS35" s="227"/>
      <c r="BT35" s="299"/>
      <c r="BV35" s="298"/>
      <c r="BW35" s="227"/>
      <c r="BX35" s="299"/>
      <c r="BZ35" s="298"/>
      <c r="CA35" s="227"/>
      <c r="CB35" s="299"/>
      <c r="CD35" s="298"/>
      <c r="CE35" s="227"/>
      <c r="CF35" s="299"/>
      <c r="CG35" s="7"/>
    </row>
    <row r="36" spans="2:85" ht="17.100000000000001" customHeight="1" x14ac:dyDescent="0.2">
      <c r="B36" s="6"/>
      <c r="C36" s="289" t="s">
        <v>258</v>
      </c>
      <c r="D36" s="289"/>
      <c r="E36" s="163"/>
      <c r="F36" s="163"/>
      <c r="G36" s="163"/>
      <c r="H36" s="163"/>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7"/>
    </row>
    <row r="37" spans="2:85" ht="4.1500000000000004" customHeight="1" x14ac:dyDescent="0.2">
      <c r="B37" s="6"/>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7"/>
    </row>
    <row r="38" spans="2:85" ht="17.100000000000001" customHeight="1" x14ac:dyDescent="0.2">
      <c r="B38" s="6"/>
      <c r="C38" s="223" t="s">
        <v>24</v>
      </c>
      <c r="D38" s="219" t="s">
        <v>58</v>
      </c>
      <c r="E38" s="49"/>
      <c r="F38" s="154">
        <f>IFERROR('Optional - input raw data'!F34/'Optional - input raw data'!F23,Calcs!$A$75)</f>
        <v>0.59508487425713241</v>
      </c>
      <c r="H38" s="159" t="str">
        <f ca="1">IF(OR(H$14="",H$15="",H$16="",H$17="",F38=""),"",
IF(F38&lt;=Calcs!C9,Lowest10,
IF(AND(F38&gt;Calcs!C9,F38&lt;=Calcs!D9),Lowest20,
IF(AND(F38&gt;Calcs!D9,F38&lt;=Calcs!E9),Inline,
IF(AND(F38&gt;Calcs!E9,F38&lt;=Calcs!G9),Middle20,
IF(AND(F38&gt;Calcs!G9,F38&lt;=Calcs!H9),Inline,
IF(AND(F38&gt;Calcs!H9,F38&lt;=Calcs!I9),Highest20,
IF(F38&gt;Calcs!I9,Highest10,""))))))))</f>
        <v>Broadly in line with similar schools</v>
      </c>
      <c r="I38" s="49"/>
      <c r="J38" s="154" t="str">
        <f>IFERROR('Optional - input raw data'!H34/'Optional - input raw data'!H23,Calcs!$A$75)</f>
        <v/>
      </c>
      <c r="L38" s="159" t="str">
        <f>IF(OR(L$14="",L$15="",L$16="",L$17="",J38=""),"",
IF(J38&lt;=Calcs!K9,Lowest10,
IF(AND(J38&gt;Calcs!K9,J38&lt;=Calcs!L9),Lowest20,
IF(AND(J38&gt;Calcs!L9,J38&lt;=Calcs!M9),Inline,
IF(AND(J38&gt;Calcs!M9,J38&lt;=Calcs!O9),Middle20,
IF(AND(J38&gt;Calcs!O9,J38&lt;=Calcs!P9),Inline,
IF(AND(J38&gt;Calcs!P9,J38&lt;=Calcs!Q9),Highest20,
IF(J38&gt;Calcs!Q9,Highest10,""))))))))</f>
        <v/>
      </c>
      <c r="M38" s="49"/>
      <c r="N38" s="154" t="str">
        <f>IFERROR('Optional - input raw data'!J34/'Optional - input raw data'!J23,Calcs!$A$75)</f>
        <v/>
      </c>
      <c r="P38" s="159" t="str">
        <f>IF(OR(P$14="",P$15="",P$16="",P$17="",N38=""),"",
IF(N38&lt;=Calcs!S9,Lowest10,
IF(AND(N38&gt;Calcs!S9,N38&lt;=Calcs!T9),Lowest20,
IF(AND(N38&gt;Calcs!T9,N38&lt;=Calcs!U9),Inline,
IF(AND(N38&gt;Calcs!U9,N38&lt;=Calcs!W9),Middle20,
IF(AND(N38&gt;Calcs!W9,N38&lt;=Calcs!X9),Inline,
IF(AND(N38&gt;Calcs!X9,N38&lt;=Calcs!Y9),Highest20,
IF(N38&gt;Calcs!Y9,Highest10,""))))))))</f>
        <v/>
      </c>
      <c r="Q38" s="49"/>
      <c r="R38" s="154" t="str">
        <f>IFERROR('Optional - input raw data'!L34/'Optional - input raw data'!L23,Calcs!$A$75)</f>
        <v/>
      </c>
      <c r="T38" s="159" t="str">
        <f>IF(OR(T$14="",T$15="",T$16="",T$17="",R38=""),"",
IF(R38&lt;=Calcs!AA9,Lowest10,
IF(AND(R38&gt;Calcs!AA9,R38&lt;=Calcs!AB9),Lowest20,
IF(AND(R38&gt;Calcs!AB9,R38&lt;=Calcs!AC9),Inline,
IF(AND(R38&gt;Calcs!AC9,R38&lt;=Calcs!AE9),Middle20,
IF(AND(R38&gt;Calcs!AE9,R38&lt;=Calcs!AF9),Inline,
IF(AND(R38&gt;Calcs!AF9,R38&lt;=Calcs!AG9),Highest20,
IF(R38&gt;Calcs!AG9,Highest10,""))))))))</f>
        <v/>
      </c>
      <c r="U38" s="49"/>
      <c r="V38" s="154" t="str">
        <f>IFERROR('Optional - input raw data'!N34/'Optional - input raw data'!N23,"")</f>
        <v/>
      </c>
      <c r="X38" s="159" t="str">
        <f>IF(OR(X$14="",X$15="",X$16="",X$17="",V38=""),"",
IF(V38&lt;=Calcs!AI9,Lowest10,
IF(AND(V38&gt;Calcs!AI9,V38&lt;=Calcs!AJ9),Lowest20,
IF(AND(V38&gt;Calcs!AJ9,V38&lt;=Calcs!AK9),Inline,
IF(AND(V38&gt;Calcs!AK9,V38&lt;=Calcs!AM9),Middle20,
IF(AND(V38&gt;Calcs!AM9,V38&lt;=Calcs!AN9),Inline,
IF(AND(V38&gt;Calcs!AN9,V38&lt;=Calcs!AO9),Highest20,
IF(V38&gt;Calcs!AO9,Highest10,""))))))))</f>
        <v/>
      </c>
      <c r="Y38" s="49"/>
      <c r="Z38" s="154" t="str">
        <f>IFERROR('Optional - input raw data'!V34/'Optional - input raw data'!V23,"")</f>
        <v/>
      </c>
      <c r="AB38" s="159" t="str">
        <f>IF(OR(AB$14="",AB$15="",AB$16="",AB$17="",Z38=""),"",
IF(Z38&lt;=Calcs!AQ9,Lowest10,
IF(AND(Z38&gt;Calcs!AQ9,Z38&lt;=Calcs!AR9),Lowest20,
IF(AND(Z38&gt;Calcs!AR9,Z38&lt;=Calcs!AS9),Inline,
IF(AND(Z38&gt;Calcs!AS9,Z38&lt;=Calcs!AU9),Middle20,
IF(AND(Z38&gt;Calcs!AU9,Z38&lt;=Calcs!AV9),Inline,
IF(AND(Z38&gt;Calcs!AV9,Z38&lt;=Calcs!AW9),Highest20,
IF(Z38&gt;Calcs!AW9,Highest10,""))))))))</f>
        <v/>
      </c>
      <c r="AC38" s="49"/>
      <c r="AD38" s="154" t="str">
        <f>IFERROR('Optional - input raw data'!R34/'Optional - input raw data'!R23,"")</f>
        <v/>
      </c>
      <c r="AF38" s="159" t="str">
        <f>IF(OR(AF$14="",AF$15="",AF$16="",AF$17="",AD38=""),"",
IF(AD38&lt;=Calcs!AY9,Lowest10,
IF(AND(AD38&gt;Calcs!AY9,AD38&lt;=Calcs!AZ9),Lowest20,
IF(AND(AD38&gt;Calcs!AZ9,AD38&lt;=Calcs!BA9),Inline,
IF(AND(AD38&gt;Calcs!BA9,AD38&lt;=Calcs!BC9),Middle20,
IF(AND(AD38&gt;Calcs!BC9,AD38&lt;=Calcs!BD9),Inline,
IF(AND(AD38&gt;Calcs!BD9,AD38&lt;=Calcs!BE9),Highest20,
IF(AD38&gt;Calcs!BE9,Highest10,""))))))))</f>
        <v/>
      </c>
      <c r="AG38" s="49"/>
      <c r="AH38" s="154" t="str">
        <f>IFERROR('Optional - input raw data'!T34/'Optional - input raw data'!T23,"")</f>
        <v/>
      </c>
      <c r="AJ38" s="159" t="str">
        <f>IF(OR(AJ$14="",AJ$15="",AJ$16="",AJ$17="",AH38=""),"",
IF(AH38&lt;=Calcs!BG9,Lowest10,
IF(AND(AH38&gt;Calcs!BG9,AH38&lt;=Calcs!BH9),Lowest20,
IF(AND(AH38&gt;Calcs!BH9,AH38&lt;=Calcs!BI9),Inline,
IF(AND(AH38&gt;Calcs!BI9,AH38&lt;=Calcs!BK9),Middle20,
IF(AND(AH38&gt;Calcs!BK9,AH38&lt;=Calcs!BL9),Inline,
IF(AND(AH38&gt;Calcs!BL9,AH38&lt;=Calcs!BM9),Highest20,
IF(AH38&gt;Calcs!BM9,Highest10,""))))))))</f>
        <v/>
      </c>
      <c r="AK38" s="49"/>
      <c r="AL38" s="154" t="str">
        <f>IFERROR('Optional - input raw data'!V34/'Optional - input raw data'!V23,"")</f>
        <v/>
      </c>
      <c r="AN38" s="159" t="str">
        <f>IF(OR(AN$14="",AN$15="",AN$16="",AN$17="",AL38=""),"",
IF(AL38&lt;=Calcs!BO9,Lowest10,
IF(AND(AL38&gt;Calcs!BO9,AL38&lt;=Calcs!BP9),Lowest20,
IF(AND(AL38&gt;Calcs!BP9,AL38&lt;=Calcs!BQ9),Inline,
IF(AND(AL38&gt;Calcs!BQ9,AL38&lt;=Calcs!BS9),Middle20,
IF(AND(AL38&gt;Calcs!BS9,AL38&lt;=Calcs!BT9),Inline,
IF(AND(AL38&gt;Calcs!BT9,AL38&lt;=Calcs!BU9),Highest20,
IF(AL38&gt;Calcs!BU9,Highest10,""))))))))</f>
        <v/>
      </c>
      <c r="AO38" s="49"/>
      <c r="AP38" s="154" t="str">
        <f>IFERROR('Optional - input raw data'!X34/'Optional - input raw data'!X23,"")</f>
        <v/>
      </c>
      <c r="AR38" s="159" t="str">
        <f>IF(OR(AR$14="",AR$15="",AR$16="",AR$17="",AP38=""),"",
IF(AP38&lt;=Calcs!BW9,Lowest10,
IF(AND(AP38&gt;Calcs!BW9,AP38&lt;=Calcs!BX9),Lowest20,
IF(AND(AP38&gt;Calcs!BX9,AP38&lt;=Calcs!BY9),Inline,
IF(AND(AP38&gt;Calcs!BY9,AP38&lt;=Calcs!CA9),Middle20,
IF(AND(AP38&gt;Calcs!CA9,AP38&lt;=Calcs!CB9),Inline,
IF(AND(AP38&gt;Calcs!CB9,AP38&lt;=Calcs!CC9),Highest20,
IF(AP38&gt;Calcs!CC9,Highest10,""))))))))</f>
        <v/>
      </c>
      <c r="AS38" s="49"/>
      <c r="AT38" s="154" t="str">
        <f>IFERROR('Optional - input raw data'!Z34/'Optional - input raw data'!Z23,"")</f>
        <v/>
      </c>
      <c r="AV38" s="159" t="str">
        <f>IF(OR(AV$14="",AV$15="",AV$16="",AV$17="",AT38=""),"",
IF(AT38&lt;=Calcs!CE9,Lowest10,
IF(AND(AT38&gt;Calcs!CE9,AT38&lt;=Calcs!CF9),Lowest20,
IF(AND(AT38&gt;Calcs!CF9,AT38&lt;=Calcs!CG9),Inline,
IF(AND(AT38&gt;Calcs!CG9,AT38&lt;=Calcs!CI9),Middle20,
IF(AND(AT38&gt;Calcs!CI9,AT38&lt;=Calcs!CJ9),Inline,
IF(AND(AT38&gt;Calcs!CJ9,AT38&lt;=Calcs!CK9),Highest20,
IF(AT38&gt;Calcs!CK9,Highest10,""))))))))</f>
        <v/>
      </c>
      <c r="AW38" s="49"/>
      <c r="AX38" s="154" t="str">
        <f>IFERROR('Optional - input raw data'!AB34/'Optional - input raw data'!AB23,"")</f>
        <v/>
      </c>
      <c r="AZ38" s="159" t="str">
        <f>IF(OR(AZ$14="",AZ$15="",AZ$16="",AZ$17="",AX38=""),"",
IF(AX38&lt;=Calcs!CM9,Lowest10,
IF(AND(AX38&gt;Calcs!CM9,AX38&lt;=Calcs!CN9),Lowest20,
IF(AND(AX38&gt;Calcs!CN9,AX38&lt;=Calcs!CO9),Inline,
IF(AND(AX38&gt;Calcs!CO9,AX38&lt;=Calcs!CQ9),Middle20,
IF(AND(AX38&gt;Calcs!CQ9,AX38&lt;=Calcs!CR9),Inline,
IF(AND(AX38&gt;Calcs!CR9,AX38&lt;=Calcs!CS9),Highest20,
IF(AX38&gt;Calcs!CS9,Highest10,""))))))))</f>
        <v/>
      </c>
      <c r="BA38" s="49"/>
      <c r="BB38" s="154" t="str">
        <f>IFERROR('Optional - input raw data'!AD34/'Optional - input raw data'!AD23,"")</f>
        <v/>
      </c>
      <c r="BD38" s="159" t="str">
        <f>IF(OR(BD$14="",BD$15="",BD$16="",BD$17="",BB38=""),"",
IF(BB38&lt;=Calcs!CU9,Lowest10,
IF(AND(BB38&gt;Calcs!CU9,BB38&lt;=Calcs!CV9),Lowest20,
IF(AND(BB38&gt;Calcs!CV9,BB38&lt;=Calcs!CW9),Inline,
IF(AND(BB38&gt;Calcs!CW9,BB38&lt;=Calcs!CY9),Middle20,
IF(AND(BB38&gt;Calcs!CY9,BB38&lt;=Calcs!CZ9),Inline,
IF(AND(BB38&gt;Calcs!CZ9,BB38&lt;=Calcs!DA9),Highest20,
IF(BB38&gt;Calcs!DA9,Highest10,""))))))))</f>
        <v/>
      </c>
      <c r="BE38" s="49"/>
      <c r="BF38" s="154" t="str">
        <f>IFERROR('Optional - input raw data'!AF34/'Optional - input raw data'!AF23,"")</f>
        <v/>
      </c>
      <c r="BH38" s="159" t="str">
        <f>IF(OR(BH$14="",BH$15="",BH$16="",BH$17="",BF38=""),"",
IF(BF38&lt;=Calcs!DC9,Lowest10,
IF(AND(BF38&gt;Calcs!DC9,BF38&lt;=Calcs!DD9),Lowest20,
IF(AND(BF38&gt;Calcs!DD9,BF38&lt;=Calcs!DE9),Inline,
IF(AND(BF38&gt;Calcs!DE9,BF38&lt;=Calcs!DG9),Middle20,
IF(AND(BF38&gt;Calcs!DG9,BF38&lt;=Calcs!DH9),Inline,
IF(AND(BF38&gt;Calcs!DH9,BF38&lt;=Calcs!DI9),Highest20,
IF(BF38&gt;Calcs!DI9,Highest10,""))))))))</f>
        <v/>
      </c>
      <c r="BI38" s="49"/>
      <c r="BJ38" s="154" t="str">
        <f>IFERROR('Optional - input raw data'!AH34/'Optional - input raw data'!AH23,"")</f>
        <v/>
      </c>
      <c r="BL38" s="159" t="str">
        <f>IF(OR(BL$14="",BL$15="",BL$16="",BL$17="",BJ38=""),"",
IF(BJ38&lt;=Calcs!DK9,Lowest10,
IF(AND(BJ38&gt;Calcs!DK9,BJ38&lt;=Calcs!DL9),Lowest20,
IF(AND(BJ38&gt;Calcs!DL9,BJ38&lt;=Calcs!DM9),Inline,
IF(AND(BJ38&gt;Calcs!DM9,BJ38&lt;=Calcs!DO9),Middle20,
IF(AND(BJ38&gt;Calcs!DO9,BJ38&lt;=Calcs!DP9),Inline,
IF(AND(BJ38&gt;Calcs!DP9,BJ38&lt;=Calcs!DQ9),Highest20,
IF(BJ38&gt;Calcs!DQ9,Highest10,""))))))))</f>
        <v/>
      </c>
      <c r="BM38" s="49"/>
      <c r="BN38" s="154" t="str">
        <f>IFERROR('Optional - input raw data'!AJ34/'Optional - input raw data'!AJ23,"")</f>
        <v/>
      </c>
      <c r="BP38" s="159" t="str">
        <f>IF(OR(BP$14="",BP$15="",BP$16="",BP$17="",BN38=""),"",
IF(BN38&lt;=Calcs!DS9,Lowest10,
IF(AND(BN38&gt;Calcs!DS9,BN38&lt;=Calcs!DT9),Lowest20,
IF(AND(BN38&gt;Calcs!DT9,BN38&lt;=Calcs!DU9),Inline,
IF(AND(BN38&gt;Calcs!DU9,BN38&lt;=Calcs!DW9),Middle20,
IF(AND(BN38&gt;Calcs!DW9,BN38&lt;=Calcs!DX9),Inline,
IF(AND(BN38&gt;Calcs!DX9,BN38&lt;=Calcs!DY9),Highest20,
IF(BN38&gt;Calcs!DY9,Highest10,""))))))))</f>
        <v/>
      </c>
      <c r="BQ38" s="49"/>
      <c r="BR38" s="154" t="str">
        <f>IFERROR('Optional - input raw data'!AL34/'Optional - input raw data'!AL23,"")</f>
        <v/>
      </c>
      <c r="BT38" s="159" t="str">
        <f>IF(OR(BT$14="",BT$15="",BT$16="",BT$17="",BR38=""),"",
IF(BR38&lt;=Calcs!EA9,Lowest10,
IF(AND(BR38&gt;Calcs!EA9,BR38&lt;=Calcs!EB9),Lowest20,
IF(AND(BR38&gt;Calcs!EB9,BR38&lt;=Calcs!EC9),Inline,
IF(AND(BR38&gt;Calcs!EC9,BR38&lt;=Calcs!EE9),Middle20,
IF(AND(BR38&gt;Calcs!EE9,BR38&lt;=Calcs!EF9),Inline,
IF(AND(BR38&gt;Calcs!EF9,BR38&lt;=Calcs!EG9),Highest20,
IF(BR38&gt;Calcs!EG9,Highest10,""))))))))</f>
        <v/>
      </c>
      <c r="BU38" s="49"/>
      <c r="BV38" s="154" t="str">
        <f>IFERROR('Optional - input raw data'!AN34/'Optional - input raw data'!AN23,"")</f>
        <v/>
      </c>
      <c r="BX38" s="159" t="str">
        <f>IF(OR(BX$14="",BX$15="",BX$16="",BX$17="",BV38=""),"",
IF(BV38&lt;=Calcs!EI9,Lowest10,
IF(AND(BV38&gt;Calcs!EI9,BV38&lt;=Calcs!EJ9),Lowest20,
IF(AND(BV38&gt;Calcs!EJ9,BV38&lt;=Calcs!EK9),Inline,
IF(AND(BV38&gt;Calcs!EK9,BV38&lt;=Calcs!EM9),Middle20,
IF(AND(BV38&gt;Calcs!EM9,BV38&lt;=Calcs!EN9),Inline,
IF(AND(BV38&gt;Calcs!EN9,BV38&lt;=Calcs!EO9),Highest20,
IF(BV38&gt;Calcs!EO9,Highest10,""))))))))</f>
        <v/>
      </c>
      <c r="BY38" s="49"/>
      <c r="BZ38" s="154" t="str">
        <f>IFERROR('Optional - input raw data'!AP34/'Optional - input raw data'!AP23,"")</f>
        <v/>
      </c>
      <c r="CB38" s="159" t="str">
        <f>IF(OR(CB$14="",CB$15="",CB$16="",CB$17="",BZ38=""),"",
IF(BZ38&lt;=Calcs!EQ9,Lowest10,
IF(AND(BZ38&gt;Calcs!EQ9,BZ38&lt;=Calcs!ER9),Lowest20,
IF(AND(BZ38&gt;Calcs!ER9,BZ38&lt;=Calcs!ES9),Inline,
IF(AND(BZ38&gt;Calcs!ES9,BZ38&lt;=Calcs!EU9),Middle20,
IF(AND(BZ38&gt;Calcs!EU9,BZ38&lt;=Calcs!EV9),Inline,
IF(AND(BZ38&gt;Calcs!EV9,BZ38&lt;=Calcs!EW9),Highest20,
IF(BZ38&gt;Calcs!EW9,Highest10,""))))))))</f>
        <v/>
      </c>
      <c r="CC38" s="49"/>
      <c r="CD38" s="154" t="str">
        <f>IFERROR('Optional - input raw data'!AR34/'Optional - input raw data'!AR23,Calcs!$A$75)</f>
        <v/>
      </c>
      <c r="CF38" s="159" t="str">
        <f>IF(OR(CF$14="",CF$15="",CF$16="",CF$17="",CD38=""),"",
IF(CD38&lt;=Calcs!EY9,Lowest10,
IF(AND(CD38&gt;Calcs!EY9,CD38&lt;=Calcs!EZ9),Lowest20,
IF(AND(CD38&gt;Calcs!EZ9,CD38&lt;=Calcs!FA9),Inline,
IF(AND(CD38&gt;Calcs!FA9,CD38&lt;=Calcs!FC9),Middle20,
IF(AND(CD38&gt;Calcs!FC9,CD38&lt;=Calcs!FD9),Inline,
IF(AND(CD38&gt;Calcs!FD9,CD38&lt;=Calcs!FE9),Highest20,
IF(CD38&gt;Calcs!FE9,Highest10,""))))))))</f>
        <v/>
      </c>
      <c r="CG38" s="7"/>
    </row>
    <row r="39" spans="2:85" ht="17.100000000000001" customHeight="1" x14ac:dyDescent="0.2">
      <c r="B39" s="6"/>
      <c r="C39" s="223" t="s">
        <v>25</v>
      </c>
      <c r="D39" s="219" t="s">
        <v>58</v>
      </c>
      <c r="E39" s="49"/>
      <c r="F39" s="155">
        <f>IFERROR(('Optional - input raw data'!F35+'Optional - input raw data'!F43+'Optional - input raw data'!F57)/'Optional - input raw data'!F23,Calcs!$A$75)</f>
        <v>2.7231216995765003E-3</v>
      </c>
      <c r="H39" s="159" t="str">
        <f ca="1">IF(OR(H$14="",H$15="",H$16="",H$17="",F39=""),"",
IF(F39&lt;=Calcs!E10,Inline,
IF(AND(F39&gt;Calcs!E10,F39&lt;=Calcs!G10),Middle20,
IF(AND(F39&gt;Calcs!G10,F39&lt;=Calcs!H10),Inline,
IF(AND(F39&gt;Calcs!H10,F39&lt;=Calcs!I10),Highest20,
IF(F39&gt;Calcs!I10,Highest10,""))))))</f>
        <v>Broadly in line with similar schools</v>
      </c>
      <c r="I39" s="49"/>
      <c r="J39" s="155" t="str">
        <f>IFERROR(('Optional - input raw data'!H35+'Optional - input raw data'!H43+'Optional - input raw data'!H57)/'Optional - input raw data'!H23,Calcs!$A$75)</f>
        <v/>
      </c>
      <c r="L39" s="159" t="str">
        <f>IF(OR(L$14="",L$15="",L$16="",L$17="",J39=""),"",
IF(J39&lt;=Calcs!M10,Inline,
IF(AND(J39&gt;Calcs!M10,J39&lt;=Calcs!O10),Middle20,
IF(AND(J39&gt;Calcs!O10,J39&lt;=Calcs!P10),Inline,
IF(AND(J39&gt;Calcs!P10,J39&lt;=Calcs!Q10),Highest20,
IF(J39&gt;Calcs!Q10,Highest10,""))))))</f>
        <v/>
      </c>
      <c r="M39" s="49"/>
      <c r="N39" s="155" t="str">
        <f>IFERROR(('Optional - input raw data'!J35+'Optional - input raw data'!J43+'Optional - input raw data'!J57)/'Optional - input raw data'!J23,Calcs!$A$75)</f>
        <v/>
      </c>
      <c r="P39" s="159" t="str">
        <f>IF(OR(P$14="",P$15="",P$16="",P$17="",N39=""),"",
IF(N39&lt;=Calcs!U10,Inline,
IF(AND(N39&gt;Calcs!U10,N39&lt;=Calcs!W10),Middle20,
IF(AND(N39&gt;Calcs!W10,N39&lt;=Calcs!X10),Inline,
IF(AND(N39&gt;Calcs!X10,N39&lt;=Calcs!Y10),Highest20,
IF(N39&gt;Calcs!Y10,Highest10,""))))))</f>
        <v/>
      </c>
      <c r="Q39" s="49"/>
      <c r="R39" s="155" t="str">
        <f>IFERROR(('Optional - input raw data'!L35+'Optional - input raw data'!L43+'Optional - input raw data'!L57)/'Optional - input raw data'!L23,Calcs!$A$75)</f>
        <v/>
      </c>
      <c r="T39" s="159" t="str">
        <f>IF(OR(T$14="",T$15="",T$16="",T$17="",R39=""),"",
IF(R39&lt;=Calcs!AC10,Inline,
IF(AND(R39&gt;Calcs!AC10,R39&lt;=Calcs!AE10),Middle20,
IF(AND(R39&gt;Calcs!AE10,R39&lt;=Calcs!AF10),Inline,
IF(AND(R39&gt;Calcs!AF10,R39&lt;=Calcs!AG10),Highest20,
IF(R39&gt;Calcs!AG10,Highest10,""))))))</f>
        <v/>
      </c>
      <c r="U39" s="49"/>
      <c r="V39" s="155" t="str">
        <f>IFERROR(('Optional - input raw data'!N35+'Optional - input raw data'!N43+'Optional - input raw data'!N57)/'Optional - input raw data'!N23,"")</f>
        <v/>
      </c>
      <c r="X39" s="159" t="str">
        <f>IF(OR(X$14="",X$15="",X$16="",X$17="",V39=""),"",
IF(V39&lt;=Calcs!AK10,Inline,
IF(AND(V39&gt;Calcs!AK10,V39&lt;=Calcs!AM10),Middle20,
IF(AND(V39&gt;Calcs!AM10,V39&lt;=Calcs!AN10),Inline,
IF(AND(V39&gt;Calcs!AN10,V39&lt;=Calcs!AO10),Highest20,
IF(V39&gt;Calcs!AO10,Highest10,""))))))</f>
        <v/>
      </c>
      <c r="Y39" s="49"/>
      <c r="Z39" s="155" t="str">
        <f>IFERROR(('Optional - input raw data'!P35+'Optional - input raw data'!P43+'Optional - input raw data'!P57)/'Optional - input raw data'!P23,"")</f>
        <v/>
      </c>
      <c r="AB39" s="159" t="str">
        <f>IF(OR(AB$14="",AB$15="",AB$16="",AB$17="",Z39=""),"",
IF(Z39&lt;=Calcs!AS10,Inline,
IF(AND(Z39&gt;Calcs!AS10,Z39&lt;=Calcs!AU10),Middle20,
IF(AND(Z39&gt;Calcs!AU10,Z39&lt;=Calcs!AV10),Inline,
IF(AND(Z39&gt;Calcs!AV10,Z39&lt;=Calcs!AW10),Highest20,
IF(Z39&gt;Calcs!AW10,Highest10,""))))))</f>
        <v/>
      </c>
      <c r="AC39" s="49"/>
      <c r="AD39" s="155" t="str">
        <f>IFERROR(('Optional - input raw data'!R35+'Optional - input raw data'!R43+'Optional - input raw data'!R57)/'Optional - input raw data'!R23,"")</f>
        <v/>
      </c>
      <c r="AF39" s="159" t="str">
        <f>IF(OR(AF$14="",AF$15="",AF$16="",AF$17="",AD39=""),"",
IF(AD39&lt;=Calcs!BA10,Inline,
IF(AND(AD39&gt;Calcs!BA10,AD39&lt;=Calcs!BC10),Middle20,
IF(AND(AD39&gt;Calcs!BC10,AD39&lt;=Calcs!BD10),Inline,
IF(AND(AD39&gt;Calcs!BD10,AD39&lt;=Calcs!BE10),Highest20,
IF(AD39&gt;Calcs!BE10,Highest10,""))))))</f>
        <v/>
      </c>
      <c r="AG39" s="49"/>
      <c r="AH39" s="155" t="str">
        <f>IFERROR(('Optional - input raw data'!T35+'Optional - input raw data'!T43+'Optional - input raw data'!T57)/'Optional - input raw data'!T23,"")</f>
        <v/>
      </c>
      <c r="AJ39" s="159" t="str">
        <f>IF(OR(AJ$14="",AJ$15="",AJ$16="",AJ$17="",AH39=""),"",
IF(AH39&lt;=Calcs!BI10,Inline,
IF(AND(AH39&gt;Calcs!BI10,AH39&lt;=Calcs!BK10),Middle20,
IF(AND(AH39&gt;Calcs!BK10,AH39&lt;=Calcs!BL10),Inline,
IF(AND(AH39&gt;Calcs!BL10,AH39&lt;=Calcs!BM10),Highest20,
IF(AH39&gt;Calcs!BM10,Highest10,""))))))</f>
        <v/>
      </c>
      <c r="AK39" s="49"/>
      <c r="AL39" s="155" t="str">
        <f>IFERROR(('Optional - input raw data'!V35+'Optional - input raw data'!V43+'Optional - input raw data'!V57)/'Optional - input raw data'!V23,"")</f>
        <v/>
      </c>
      <c r="AN39" s="159" t="str">
        <f>IF(OR(AN$14="",AN$15="",AN$16="",AN$17="",AL39=""),"",
IF(AL39&lt;=Calcs!BQ10,Inline,
IF(AND(AL39&gt;Calcs!BQ10,AL39&lt;=Calcs!BS10),Middle20,
IF(AND(AL39&gt;Calcs!BS10,AL39&lt;=Calcs!BT10),Inline,
IF(AND(AL39&gt;Calcs!BT10,AL39&lt;=Calcs!BU10),Highest20,
IF(AL39&gt;Calcs!BU10,Highest10,""))))))</f>
        <v/>
      </c>
      <c r="AO39" s="49"/>
      <c r="AP39" s="155" t="str">
        <f>IFERROR(('Optional - input raw data'!X35+'Optional - input raw data'!X43+'Optional - input raw data'!X57)/'Optional - input raw data'!X23,"")</f>
        <v/>
      </c>
      <c r="AR39" s="159" t="str">
        <f>IF(OR(AR$14="",AR$15="",AR$16="",AR$17="",AP39=""),"",
IF(AP39&lt;=Calcs!BY10,Inline,
IF(AND(AP39&gt;Calcs!BY10,AP39&lt;=Calcs!CA10),Middle20,
IF(AND(AP39&gt;Calcs!CA10,AP39&lt;=Calcs!CB10),Inline,
IF(AND(AP39&gt;Calcs!CB10,AP39&lt;=Calcs!CC10),Highest20,
IF(AP39&gt;Calcs!CC10,Highest10,""))))))</f>
        <v/>
      </c>
      <c r="AS39" s="49"/>
      <c r="AT39" s="155" t="str">
        <f>IFERROR(('Optional - input raw data'!Z35+'Optional - input raw data'!Z43+'Optional - input raw data'!Z57)/'Optional - input raw data'!Z23,"")</f>
        <v/>
      </c>
      <c r="AV39" s="159" t="str">
        <f>IF(OR(AV$14="",AV$15="",AV$16="",AV$17="",AT39=""),"",
IF(AT39&lt;=Calcs!CG10,Inline,
IF(AND(AT39&gt;Calcs!CG10,AT39&lt;=Calcs!CI10),Middle20,
IF(AND(AT39&gt;Calcs!CI10,AT39&lt;=Calcs!CJ10),Inline,
IF(AND(AT39&gt;Calcs!CJ10,AT39&lt;=Calcs!CK10),Highest20,
IF(AT39&gt;Calcs!CK10,Highest10,""))))))</f>
        <v/>
      </c>
      <c r="AW39" s="49"/>
      <c r="AX39" s="155" t="str">
        <f>IFERROR(('Optional - input raw data'!AB35+'Optional - input raw data'!AB43+'Optional - input raw data'!AB57)/'Optional - input raw data'!AB23,"")</f>
        <v/>
      </c>
      <c r="AZ39" s="159" t="str">
        <f>IF(OR(AZ$14="",AZ$15="",AZ$16="",AZ$17="",AX39=""),"",
IF(AX39&lt;=Calcs!CO10,Inline,
IF(AND(AX39&gt;Calcs!CO10,AX39&lt;=Calcs!CQ10),Middle20,
IF(AND(AX39&gt;Calcs!CQ10,AX39&lt;=Calcs!CR10),Inline,
IF(AND(AX39&gt;Calcs!CR10,AX39&lt;=Calcs!CS10),Highest20,
IF(AX39&gt;Calcs!CS10,Highest10,""))))))</f>
        <v/>
      </c>
      <c r="BA39" s="49"/>
      <c r="BB39" s="155" t="str">
        <f>IFERROR(('Optional - input raw data'!AD35+'Optional - input raw data'!AD43+'Optional - input raw data'!AD57)/'Optional - input raw data'!AD23,"")</f>
        <v/>
      </c>
      <c r="BD39" s="159" t="str">
        <f>IF(OR(BD$14="",BD$15="",BD$16="",BD$17="",BB39=""),"",
IF(BB39&lt;=Calcs!CW10,Inline,
IF(AND(BB39&gt;Calcs!CW10,BB39&lt;=Calcs!CY10),Middle20,
IF(AND(BB39&gt;Calcs!CY10,BB39&lt;=Calcs!CZ10),Inline,
IF(AND(BB39&gt;Calcs!CZ10,BB39&lt;=Calcs!DA10),Highest20,
IF(BB39&gt;Calcs!DA10,Highest10,""))))))</f>
        <v/>
      </c>
      <c r="BE39" s="49"/>
      <c r="BF39" s="155" t="str">
        <f>IFERROR(('Optional - input raw data'!AF35+'Optional - input raw data'!AF43+'Optional - input raw data'!AF57)/'Optional - input raw data'!AF23,"")</f>
        <v/>
      </c>
      <c r="BH39" s="159" t="str">
        <f>IF(OR(BH$14="",BH$15="",BH$16="",BH$17="",BF39=""),"",
IF(BF39&lt;=Calcs!DE10,Inline,
IF(AND(BF39&gt;Calcs!DE10,BF39&lt;=Calcs!DG10),Middle20,
IF(AND(BF39&gt;Calcs!DG10,BF39&lt;=Calcs!DH10),Inline,
IF(AND(BF39&gt;Calcs!DH10,BF39&lt;=Calcs!DI10),Highest20,
IF(BF39&gt;Calcs!DI10,Highest10,""))))))</f>
        <v/>
      </c>
      <c r="BI39" s="49"/>
      <c r="BJ39" s="155" t="str">
        <f>IFERROR(('Optional - input raw data'!AH35+'Optional - input raw data'!AH43+'Optional - input raw data'!AH57)/'Optional - input raw data'!AH23,"")</f>
        <v/>
      </c>
      <c r="BL39" s="159" t="str">
        <f>IF(OR(BL$14="",BL$15="",BL$16="",BL$17="",BJ39=""),"",
IF(BJ39&lt;=Calcs!DM10,Inline,
IF(AND(BJ39&gt;Calcs!DM10,BJ39&lt;=Calcs!DO10),Middle20,
IF(AND(BJ39&gt;Calcs!DO10,BJ39&lt;=Calcs!DP10),Inline,
IF(AND(BJ39&gt;Calcs!DP10,BJ39&lt;=Calcs!DQ10),Highest20,
IF(BJ39&gt;Calcs!DQ10,Highest10,""))))))</f>
        <v/>
      </c>
      <c r="BM39" s="49"/>
      <c r="BN39" s="155" t="str">
        <f>IFERROR(('Optional - input raw data'!AJ35+'Optional - input raw data'!AJ43+'Optional - input raw data'!AJ57)/'Optional - input raw data'!AJ23,"")</f>
        <v/>
      </c>
      <c r="BP39" s="159" t="str">
        <f>IF(OR(BP$14="",BP$15="",BP$16="",BP$17="",BN39=""),"",
IF(BN39&lt;=Calcs!DU10,Inline,
IF(AND(BN39&gt;Calcs!DU10,BN39&lt;=Calcs!DW10),Middle20,
IF(AND(BN39&gt;Calcs!DW10,BN39&lt;=Calcs!DX10),Inline,
IF(AND(BN39&gt;Calcs!DX10,BN39&lt;=Calcs!DY10),Highest20,
IF(BN39&gt;Calcs!DY10,Highest10,""))))))</f>
        <v/>
      </c>
      <c r="BQ39" s="49"/>
      <c r="BR39" s="155" t="str">
        <f>IFERROR(('Optional - input raw data'!AL35+'Optional - input raw data'!AL43+'Optional - input raw data'!AL57)/'Optional - input raw data'!AL23,"")</f>
        <v/>
      </c>
      <c r="BT39" s="159" t="str">
        <f>IF(OR(BT$14="",BT$15="",BT$16="",BT$17="",BR39=""),"",
IF(BR39&lt;=Calcs!EC10,Inline,
IF(AND(BR39&gt;Calcs!EC10,BR39&lt;=Calcs!EE10),Middle20,
IF(AND(BR39&gt;Calcs!EE10,BR39&lt;=Calcs!EF10),Inline,
IF(AND(BR39&gt;Calcs!EF10,BR39&lt;=Calcs!EG10),Highest20,
IF(BR39&gt;Calcs!EG10,Highest10,""))))))</f>
        <v/>
      </c>
      <c r="BU39" s="49"/>
      <c r="BV39" s="155" t="str">
        <f>IFERROR(('Optional - input raw data'!AN35+'Optional - input raw data'!AN43+'Optional - input raw data'!AN57)/'Optional - input raw data'!AN23,"")</f>
        <v/>
      </c>
      <c r="BX39" s="159" t="str">
        <f>IF(OR(BX$14="",BX$15="",BX$16="",BX$17="",BV39=""),"",
IF(BV39&lt;=Calcs!EK10,Inline,
IF(AND(BV39&gt;Calcs!EK10,BV39&lt;=Calcs!EM10),Middle20,
IF(AND(BV39&gt;Calcs!EM10,BV39&lt;=Calcs!EN10),Inline,
IF(AND(BV39&gt;Calcs!EN10,BV39&lt;=Calcs!EO10),Highest20,
IF(BV39&gt;Calcs!EO10,Highest10,""))))))</f>
        <v/>
      </c>
      <c r="BY39" s="49"/>
      <c r="BZ39" s="155" t="str">
        <f>IFERROR(('Optional - input raw data'!AP35+'Optional - input raw data'!AP43+'Optional - input raw data'!AP57)/'Optional - input raw data'!AP23,"")</f>
        <v/>
      </c>
      <c r="CB39" s="159" t="str">
        <f>IF(OR(CB$14="",CB$15="",CB$16="",CB$17="",BZ39=""),"",
IF(BZ39&lt;=Calcs!ES10,Inline,
IF(AND(BZ39&gt;Calcs!ES10,BZ39&lt;=Calcs!EU10),Middle20,
IF(AND(BZ39&gt;Calcs!EU10,BZ39&lt;=Calcs!EV10),Inline,
IF(AND(BZ39&gt;Calcs!EV10,BZ39&lt;=Calcs!EW10),Highest20,
IF(BZ39&gt;Calcs!EW10,Highest10,""))))))</f>
        <v/>
      </c>
      <c r="CC39" s="49"/>
      <c r="CD39" s="155" t="str">
        <f>IFERROR(('Optional - input raw data'!AR35+'Optional - input raw data'!AR43+'Optional - input raw data'!AR57)/'Optional - input raw data'!AR23,Calcs!$A$75)</f>
        <v/>
      </c>
      <c r="CF39" s="159" t="str">
        <f>IF(OR(CF$14="",CF$15="",CF$16="",CF$17="",CD39=""),"",
IF(CD39&lt;=Calcs!FA10,Inline,
IF(AND(CD39&gt;Calcs!FA10,CD39&lt;=Calcs!FC10),Middle20,
IF(AND(CD39&gt;Calcs!FC10,CD39&lt;=Calcs!FD10),Inline,
IF(AND(CD39&gt;Calcs!FD10,CD39&lt;=Calcs!FE10),Highest20,
IF(CD39&gt;Calcs!FE10,Highest10,""))))))</f>
        <v/>
      </c>
      <c r="CG39" s="7"/>
    </row>
    <row r="40" spans="2:85" ht="16.899999999999999" customHeight="1" x14ac:dyDescent="0.2">
      <c r="B40" s="6"/>
      <c r="C40" s="223" t="s">
        <v>26</v>
      </c>
      <c r="D40" s="219" t="s">
        <v>58</v>
      </c>
      <c r="E40" s="49"/>
      <c r="F40" s="155">
        <f>IFERROR('Optional - input raw data'!F36/'Optional - input raw data'!F23,Calcs!$A$75)</f>
        <v>7.4684880356925012E-2</v>
      </c>
      <c r="H40" s="159" t="str">
        <f ca="1">IF(OR(H$14="",H$15="",H$16="",H$17="",F40=""),"",
IF(F40&lt;=Calcs!E11,Inline,
IF(AND(F40&gt;Calcs!E11,F40&lt;=Calcs!G11),Middle20,
IF(AND(F40&gt;Calcs!G11,F40&lt;=Calcs!H11),Inline,
IF(AND(F40&gt;Calcs!H11,F40&lt;=Calcs!I11),Highest20,
IF(F40&gt;Calcs!I11,Highest10,""))))))</f>
        <v>Broadly in line with similar schools</v>
      </c>
      <c r="I40" s="49"/>
      <c r="J40" s="155" t="str">
        <f>IFERROR('Optional - input raw data'!H36/'Optional - input raw data'!H23,Calcs!$A$75)</f>
        <v/>
      </c>
      <c r="L40" s="159" t="str">
        <f>IF(OR(L$14="",L$15="",L$16="",L$17="",J40=""),"",
IF(J40&lt;=Calcs!M11,Inline,
IF(AND(J40&gt;Calcs!M11,J40&lt;=Calcs!O11),Middle20,
IF(AND(J40&gt;Calcs!O11,J40&lt;=Calcs!P11),Inline,
IF(AND(J40&gt;Calcs!P11,J40&lt;=Calcs!Q11),Highest20,
IF(J40&gt;Calcs!Q11,Highest10,""))))))</f>
        <v/>
      </c>
      <c r="M40" s="49"/>
      <c r="N40" s="155" t="str">
        <f>IFERROR('Optional - input raw data'!J36/'Optional - input raw data'!J23,Calcs!$A$75)</f>
        <v/>
      </c>
      <c r="P40" s="159" t="str">
        <f>IF(OR(P$14="",P$15="",P$16="",P$17="",N40=""),"",
IF(N40&lt;=Calcs!U11,Inline,
IF(AND(N40&gt;Calcs!U11,N40&lt;=Calcs!W11),Middle20,
IF(AND(N40&gt;Calcs!W11,N40&lt;=Calcs!X11),Inline,
IF(AND(N40&gt;Calcs!X11,N40&lt;=Calcs!Y11),Highest20,
IF(N40&gt;Calcs!Y11,Highest10,""))))))</f>
        <v/>
      </c>
      <c r="Q40" s="49"/>
      <c r="R40" s="155" t="str">
        <f>IFERROR('Optional - input raw data'!L36/'Optional - input raw data'!L23,Calcs!$A$75)</f>
        <v/>
      </c>
      <c r="T40" s="159" t="str">
        <f>IF(OR(T$14="",T$15="",T$16="",T$17="",R40=""),"",
IF(R40&lt;=Calcs!AC11,Inline,
IF(AND(R40&gt;Calcs!AC11,R40&lt;=Calcs!AE11),Middle20,
IF(AND(R40&gt;Calcs!AE11,R40&lt;=Calcs!AF11),Inline,
IF(AND(R40&gt;Calcs!AF11,R40&lt;=Calcs!AG11),Highest20,
IF(R40&gt;Calcs!AG11,Highest10,""))))))</f>
        <v/>
      </c>
      <c r="U40" s="49"/>
      <c r="V40" s="155" t="str">
        <f>IFERROR('Optional - input raw data'!N36/'Optional - input raw data'!N23,"")</f>
        <v/>
      </c>
      <c r="X40" s="159" t="str">
        <f>IF(OR(X$14="",X$15="",X$16="",X$17="",V40=""),"",
IF(V40&lt;=Calcs!AK11,Inline,
IF(AND(V40&gt;Calcs!AK11,V40&lt;=Calcs!AM11),Middle20,
IF(AND(V40&gt;Calcs!AM11,V40&lt;=Calcs!AN11),Inline,
IF(AND(V40&gt;Calcs!AN11,V40&lt;=Calcs!AO11),Highest20,
IF(V40&gt;Calcs!AO11,Highest10,""))))))</f>
        <v/>
      </c>
      <c r="Y40" s="49"/>
      <c r="Z40" s="155" t="str">
        <f>IFERROR('Optional - input raw data'!P36/'Optional - input raw data'!P23,"")</f>
        <v/>
      </c>
      <c r="AB40" s="159" t="str">
        <f>IF(OR(AB$14="",AB$15="",AB$16="",AB$17="",Z40=""),"",
IF(Z40&lt;=Calcs!AS11,Inline,
IF(AND(Z40&gt;Calcs!AS11,Z40&lt;=Calcs!AU11),Middle20,
IF(AND(Z40&gt;Calcs!AU11,Z40&lt;=Calcs!AV11),Inline,
IF(AND(Z40&gt;Calcs!AV11,Z40&lt;=Calcs!AW11),Highest20,
IF(Z40&gt;Calcs!AW11,Highest10,""))))))</f>
        <v/>
      </c>
      <c r="AC40" s="49"/>
      <c r="AD40" s="155" t="str">
        <f>IFERROR('Optional - input raw data'!R36/'Optional - input raw data'!R23,"")</f>
        <v/>
      </c>
      <c r="AF40" s="159" t="str">
        <f>IF(OR(AF$14="",AF$15="",AF$16="",AF$17="",AD40=""),"",
IF(AD40&lt;=Calcs!BA11,Inline,
IF(AND(AD40&gt;Calcs!BA11,AD40&lt;=Calcs!BC11),Middle20,
IF(AND(AD40&gt;Calcs!BC11,AD40&lt;=Calcs!BD11),Inline,
IF(AND(AD40&gt;Calcs!BD11,AD40&lt;=Calcs!BE11),Highest20,
IF(AD40&gt;Calcs!BE11,Highest10,""))))))</f>
        <v/>
      </c>
      <c r="AG40" s="49"/>
      <c r="AH40" s="155" t="str">
        <f>IFERROR('Optional - input raw data'!T36/'Optional - input raw data'!T23,"")</f>
        <v/>
      </c>
      <c r="AJ40" s="159" t="str">
        <f>IF(OR(AJ$14="",AJ$15="",AJ$16="",AJ$17="",AH40=""),"",
IF(AH40&lt;=Calcs!BI11,Inline,
IF(AND(AH40&gt;Calcs!BI11,AH40&lt;=Calcs!BK11),Middle20,
IF(AND(AH40&gt;Calcs!BK11,AH40&lt;=Calcs!BL11),Inline,
IF(AND(AH40&gt;Calcs!BL11,AH40&lt;=Calcs!BM11),Highest20,
IF(AH40&gt;Calcs!BM11,Highest10,""))))))</f>
        <v/>
      </c>
      <c r="AK40" s="49"/>
      <c r="AL40" s="155" t="str">
        <f>IFERROR('Optional - input raw data'!V36/'Optional - input raw data'!V23,"")</f>
        <v/>
      </c>
      <c r="AN40" s="159" t="str">
        <f>IF(OR(AN$14="",AN$15="",AN$16="",AN$17="",AL40=""),"",
IF(AL40&lt;=Calcs!BQ11,Inline,
IF(AND(AL40&gt;Calcs!BQ11,AL40&lt;=Calcs!BS11),Middle20,
IF(AND(AL40&gt;Calcs!BS11,AL40&lt;=Calcs!BT11),Inline,
IF(AND(AL40&gt;Calcs!BT11,AL40&lt;=Calcs!BU11),Highest20,
IF(AL40&gt;Calcs!BU11,Highest10,""))))))</f>
        <v/>
      </c>
      <c r="AO40" s="49"/>
      <c r="AP40" s="155" t="str">
        <f>IFERROR('Optional - input raw data'!X36/'Optional - input raw data'!X23,"")</f>
        <v/>
      </c>
      <c r="AR40" s="159" t="str">
        <f>IF(OR(AR$14="",AR$15="",AR$16="",AR$17="",AP40=""),"",
IF(AP40&lt;=Calcs!BY11,Inline,
IF(AND(AP40&gt;Calcs!BY11,AP40&lt;=Calcs!CA11),Middle20,
IF(AND(AP40&gt;Calcs!CA11,AP40&lt;=Calcs!CB11),Inline,
IF(AND(AP40&gt;Calcs!CB11,AP40&lt;=Calcs!CC11),Highest20,
IF(AP40&gt;Calcs!CC11,Highest10,""))))))</f>
        <v/>
      </c>
      <c r="AS40" s="49"/>
      <c r="AT40" s="155" t="str">
        <f>IFERROR('Optional - input raw data'!Z36/'Optional - input raw data'!Z23,"")</f>
        <v/>
      </c>
      <c r="AV40" s="159" t="str">
        <f>IF(OR(AV$14="",AV$15="",AV$16="",AV$17="",AT40=""),"",
IF(AT40&lt;=Calcs!CG11,Inline,
IF(AND(AT40&gt;Calcs!CG11,AT40&lt;=Calcs!CI11),Middle20,
IF(AND(AT40&gt;Calcs!CI11,AT40&lt;=Calcs!CJ11),Inline,
IF(AND(AT40&gt;Calcs!CJ11,AT40&lt;=Calcs!CK11),Highest20,
IF(AT40&gt;Calcs!CK11,Highest10,""))))))</f>
        <v/>
      </c>
      <c r="AW40" s="49"/>
      <c r="AX40" s="155" t="str">
        <f>IFERROR('Optional - input raw data'!AB36/'Optional - input raw data'!AB23,"")</f>
        <v/>
      </c>
      <c r="AZ40" s="159" t="str">
        <f>IF(OR(AZ$14="",AZ$15="",AZ$16="",AZ$17="",AX40=""),"",
IF(AX40&lt;=Calcs!CO11,Inline,
IF(AND(AX40&gt;Calcs!CO11,AX40&lt;=Calcs!CQ11),Middle20,
IF(AND(AX40&gt;Calcs!CQ11,AX40&lt;=Calcs!CR11),Inline,
IF(AND(AX40&gt;Calcs!CR11,AX40&lt;=Calcs!CS11),Highest20,
IF(AX40&gt;Calcs!CS11,Highest10,""))))))</f>
        <v/>
      </c>
      <c r="BA40" s="49"/>
      <c r="BB40" s="155" t="str">
        <f>IFERROR('Optional - input raw data'!AD36/'Optional - input raw data'!AD23,"")</f>
        <v/>
      </c>
      <c r="BD40" s="159" t="str">
        <f>IF(OR(BD$14="",BD$15="",BD$16="",BD$17="",BB40=""),"",
IF(BB40&lt;=Calcs!CW11,Inline,
IF(AND(BB40&gt;Calcs!CW11,BB40&lt;=Calcs!CY11),Middle20,
IF(AND(BB40&gt;Calcs!CY11,BB40&lt;=Calcs!CZ11),Inline,
IF(AND(BB40&gt;Calcs!CZ11,BB40&lt;=Calcs!DA11),Highest20,
IF(BB40&gt;Calcs!DA11,Highest10,""))))))</f>
        <v/>
      </c>
      <c r="BE40" s="49"/>
      <c r="BF40" s="155" t="str">
        <f>IFERROR('Optional - input raw data'!AF36/'Optional - input raw data'!AF23,"")</f>
        <v/>
      </c>
      <c r="BH40" s="159" t="str">
        <f>IF(OR(BH$14="",BH$15="",BH$16="",BH$17="",BF40=""),"",
IF(BF40&lt;=Calcs!DE11,Inline,
IF(AND(BF40&gt;Calcs!DE11,BF40&lt;=Calcs!DG11),Middle20,
IF(AND(BF40&gt;Calcs!DG11,BF40&lt;=Calcs!DH11),Inline,
IF(AND(BF40&gt;Calcs!DH11,BF40&lt;=Calcs!DI11),Highest20,
IF(BF40&gt;Calcs!DI11,Highest10,""))))))</f>
        <v/>
      </c>
      <c r="BI40" s="49"/>
      <c r="BJ40" s="155" t="str">
        <f>IFERROR('Optional - input raw data'!AH36/'Optional - input raw data'!AH23,"")</f>
        <v/>
      </c>
      <c r="BL40" s="159" t="str">
        <f>IF(OR(BL$14="",BL$15="",BL$16="",BL$17="",BJ40=""),"",
IF(BJ40&lt;=Calcs!DM11,Inline,
IF(AND(BJ40&gt;Calcs!DM11,BJ40&lt;=Calcs!DO11),Middle20,
IF(AND(BJ40&gt;Calcs!DO11,BJ40&lt;=Calcs!DP11),Inline,
IF(AND(BJ40&gt;Calcs!DP11,BJ40&lt;=Calcs!DQ11),Highest20,
IF(BJ40&gt;Calcs!DQ11,Highest10,""))))))</f>
        <v/>
      </c>
      <c r="BM40" s="49"/>
      <c r="BN40" s="155" t="str">
        <f>IFERROR('Optional - input raw data'!AJ36/'Optional - input raw data'!AJ23,"")</f>
        <v/>
      </c>
      <c r="BP40" s="159" t="str">
        <f>IF(OR(BP$14="",BP$15="",BP$16="",BP$17="",BN40=""),"",
IF(BN40&lt;=Calcs!DU11,Inline,
IF(AND(BN40&gt;Calcs!DU11,BN40&lt;=Calcs!DW11),Middle20,
IF(AND(BN40&gt;Calcs!DW11,BN40&lt;=Calcs!DX11),Inline,
IF(AND(BN40&gt;Calcs!DX11,BN40&lt;=Calcs!DY11),Highest20,
IF(BN40&gt;Calcs!DY11,Highest10,""))))))</f>
        <v/>
      </c>
      <c r="BQ40" s="49"/>
      <c r="BR40" s="155" t="str">
        <f>IFERROR('Optional - input raw data'!AL36/'Optional - input raw data'!AL23,"")</f>
        <v/>
      </c>
      <c r="BT40" s="159" t="str">
        <f>IF(OR(BT$14="",BT$15="",BT$16="",BT$17="",BR40=""),"",
IF(BR40&lt;=Calcs!EC11,Inline,
IF(AND(BR40&gt;Calcs!EC11,BR40&lt;=Calcs!EE11),Middle20,
IF(AND(BR40&gt;Calcs!EE11,BR40&lt;=Calcs!EF11),Inline,
IF(AND(BR40&gt;Calcs!EF11,BR40&lt;=Calcs!EG11),Highest20,
IF(BR40&gt;Calcs!EG11,Highest10,""))))))</f>
        <v/>
      </c>
      <c r="BU40" s="49"/>
      <c r="BV40" s="155" t="str">
        <f>IFERROR('Optional - input raw data'!AN36/'Optional - input raw data'!AN23,"")</f>
        <v/>
      </c>
      <c r="BX40" s="159" t="str">
        <f>IF(OR(BX$14="",BX$15="",BX$16="",BX$17="",BV40=""),"",
IF(BV40&lt;=Calcs!EK11,Inline,
IF(AND(BV40&gt;Calcs!EK11,BV40&lt;=Calcs!EM11),Middle20,
IF(AND(BV40&gt;Calcs!EM11,BV40&lt;=Calcs!EN11),Inline,
IF(AND(BV40&gt;Calcs!EN11,BV40&lt;=Calcs!EO11),Highest20,
IF(BV40&gt;Calcs!EO11,Highest10,""))))))</f>
        <v/>
      </c>
      <c r="BY40" s="49"/>
      <c r="BZ40" s="155" t="str">
        <f>IFERROR('Optional - input raw data'!AP36/'Optional - input raw data'!AP23,"")</f>
        <v/>
      </c>
      <c r="CB40" s="159" t="str">
        <f>IF(OR(CB$14="",CB$15="",CB$16="",CB$17="",BZ40=""),"",
IF(BZ40&lt;=Calcs!ES11,Inline,
IF(AND(BZ40&gt;Calcs!ES11,BZ40&lt;=Calcs!EU11),Middle20,
IF(AND(BZ40&gt;Calcs!EU11,BZ40&lt;=Calcs!EV11),Inline,
IF(AND(BZ40&gt;Calcs!EV11,BZ40&lt;=Calcs!EW11),Highest20,
IF(BZ40&gt;Calcs!EW11,Highest10,""))))))</f>
        <v/>
      </c>
      <c r="CC40" s="49"/>
      <c r="CD40" s="155" t="str">
        <f>IFERROR('Optional - input raw data'!AR36/'Optional - input raw data'!AR23,Calcs!$A$75)</f>
        <v/>
      </c>
      <c r="CF40" s="159" t="str">
        <f>IF(OR(CF$14="",CF$15="",CF$16="",CF$17="",CD40=""),"",
IF(CD40&lt;=Calcs!FA11,Inline,
IF(AND(CD40&gt;Calcs!FA11,CD40&lt;=Calcs!FC11),Middle20,
IF(AND(CD40&gt;Calcs!FC11,CD40&lt;=Calcs!FD11),Inline,
IF(AND(CD40&gt;Calcs!FD11,CD40&lt;=Calcs!FE11),Highest20,
IF(CD40&gt;Calcs!FE11,Highest10,""))))))</f>
        <v/>
      </c>
      <c r="CG40" s="7"/>
    </row>
    <row r="41" spans="2:85" ht="17.100000000000001" customHeight="1" x14ac:dyDescent="0.2">
      <c r="B41" s="6"/>
      <c r="C41" s="223" t="s">
        <v>27</v>
      </c>
      <c r="D41" s="219" t="s">
        <v>58</v>
      </c>
      <c r="E41" s="49"/>
      <c r="F41" s="154">
        <f>IFERROR('Optional - input raw data'!F37/'Optional - input raw data'!F23,Calcs!$A$75)</f>
        <v>9.9268133812021819E-2</v>
      </c>
      <c r="H41" s="159" t="str">
        <f ca="1">IF(OR(H$14="",H$15="",H$16="",H$17="",F41=""),"",
IF(F41&lt;=Calcs!H12,Inline,
IF(AND(F41&gt;Calcs!H12,F41&lt;=Calcs!I12),Highest20,
IF(F41&gt;Calcs!I12,Highest10,""))))</f>
        <v>Highest 20% of similar schools</v>
      </c>
      <c r="I41" s="49"/>
      <c r="J41" s="154" t="str">
        <f>IFERROR('Optional - input raw data'!H37/'Optional - input raw data'!H23,Calcs!$A$75)</f>
        <v/>
      </c>
      <c r="L41" s="159" t="str">
        <f>IF(OR(L$14="",L$15="",L$16="",L$17="",J41=""),"",
IF(J41&lt;=Calcs!P12,Inline,
IF(AND(J41&gt;Calcs!P12,J41&lt;=Calcs!Q12),Highest20,
IF(J41&gt;Calcs!Q12,Highest10,""))))</f>
        <v/>
      </c>
      <c r="M41" s="49"/>
      <c r="N41" s="154" t="str">
        <f>IFERROR('Optional - input raw data'!J37/'Optional - input raw data'!J23,Calcs!$A$75)</f>
        <v/>
      </c>
      <c r="P41" s="159" t="str">
        <f>IF(OR(P$14="",P$15="",P$16="",P$17="",N41=""),"",
IF(N41&lt;=Calcs!X12,Inline,
IF(AND(N41&gt;Calcs!X12,N41&lt;=Calcs!Y12),Highest20,
IF(N41&gt;Calcs!Y12,Highest10,""))))</f>
        <v/>
      </c>
      <c r="Q41" s="49"/>
      <c r="R41" s="154" t="str">
        <f>IFERROR('Optional - input raw data'!L37/'Optional - input raw data'!L23,Calcs!$A$75)</f>
        <v/>
      </c>
      <c r="T41" s="159" t="str">
        <f>IF(OR(T$14="",T$15="",T$16="",T$17="",R41=""),"",
IF(R41&lt;=Calcs!AF12,Inline,
IF(AND(R41&gt;Calcs!AF12,R41&lt;=Calcs!AG12),Highest20,
IF(R41&gt;Calcs!AG12,Highest10,""))))</f>
        <v/>
      </c>
      <c r="U41" s="49"/>
      <c r="V41" s="154" t="str">
        <f>IFERROR('Optional - input raw data'!N37/'Optional - input raw data'!N23,"")</f>
        <v/>
      </c>
      <c r="X41" s="159" t="str">
        <f>IF(OR(X$14="",X$15="",X$16="",X$17="",V41=""),"",
IF(V41&lt;=Calcs!AN12,Inline,
IF(AND(V41&gt;Calcs!AN12,V41&lt;=Calcs!AO12),Highest20,
IF(V41&gt;Calcs!AO12,Highest10,""))))</f>
        <v/>
      </c>
      <c r="Y41" s="49"/>
      <c r="Z41" s="154" t="str">
        <f>IFERROR('Optional - input raw data'!P37/'Optional - input raw data'!P23,"")</f>
        <v/>
      </c>
      <c r="AB41" s="159" t="str">
        <f>IF(OR(AB$14="",AB$15="",AB$16="",AB$17="",Z41=""),"",
IF(Z41&lt;=Calcs!AV12,Inline,
IF(AND(Z41&gt;Calcs!AV12,Z41&lt;=Calcs!AW12),Highest20,
IF(Z41&gt;Calcs!AW12,Highest10,""))))</f>
        <v/>
      </c>
      <c r="AC41" s="49"/>
      <c r="AD41" s="154" t="str">
        <f>IFERROR('Optional - input raw data'!R37/'Optional - input raw data'!R23,"")</f>
        <v/>
      </c>
      <c r="AF41" s="159" t="str">
        <f>IF(OR(AF$14="",AF$15="",AF$16="",AF$17="",AD41=""),"",
IF(AD41&lt;=Calcs!BD12,Inline,
IF(AND(AD41&gt;Calcs!BD12,AD41&lt;=Calcs!BE12),Highest20,
IF(AD41&gt;Calcs!BE12,Highest10,""))))</f>
        <v/>
      </c>
      <c r="AG41" s="49"/>
      <c r="AH41" s="154" t="str">
        <f>IFERROR('Optional - input raw data'!T37/'Optional - input raw data'!T23,"")</f>
        <v/>
      </c>
      <c r="AJ41" s="159" t="str">
        <f>IF(OR(AJ$14="",AJ$15="",AJ$16="",AJ$17="",AH41=""),"",
IF(AH41&lt;=Calcs!BL12,Inline,
IF(AND(AH41&gt;Calcs!BL12,AH41&lt;=Calcs!BM12),Highest20,
IF(AH41&gt;Calcs!BM12,Highest10,""))))</f>
        <v/>
      </c>
      <c r="AK41" s="49"/>
      <c r="AL41" s="154" t="str">
        <f>IFERROR('Optional - input raw data'!V37/'Optional - input raw data'!V23,"")</f>
        <v/>
      </c>
      <c r="AN41" s="159" t="str">
        <f>IF(OR(AN$14="",AN$15="",AN$16="",AN$17="",AL41=""),"",
IF(AL41&lt;=Calcs!BT12,Inline,
IF(AND(AL41&gt;Calcs!BT12,AL41&lt;=Calcs!BU12),Highest20,
IF(AL41&gt;Calcs!BU12,Highest10,""))))</f>
        <v/>
      </c>
      <c r="AO41" s="49"/>
      <c r="AP41" s="154" t="str">
        <f>IFERROR('Optional - input raw data'!X37/'Optional - input raw data'!X23,"")</f>
        <v/>
      </c>
      <c r="AR41" s="159" t="str">
        <f>IF(OR(AR$14="",AR$15="",AR$16="",AR$17="",AP41=""),"",
IF(AP41&lt;=Calcs!CB12,Inline,
IF(AND(AP41&gt;Calcs!CB12,AP41&lt;=Calcs!CC12),Highest20,
IF(AP41&gt;Calcs!CC12,Highest10,""))))</f>
        <v/>
      </c>
      <c r="AS41" s="49"/>
      <c r="AT41" s="154" t="str">
        <f>IFERROR('Optional - input raw data'!Z37/'Optional - input raw data'!Z23,"")</f>
        <v/>
      </c>
      <c r="AV41" s="159" t="str">
        <f>IF(OR(AV$14="",AV$15="",AV$16="",AV$17="",AT41=""),"",
IF(AT41&lt;=Calcs!CJ12,Inline,
IF(AND(AT41&gt;Calcs!CJ12,AT41&lt;=Calcs!CK12),Highest20,
IF(AT41&gt;Calcs!CK12,Highest10,""))))</f>
        <v/>
      </c>
      <c r="AW41" s="49"/>
      <c r="AX41" s="154" t="str">
        <f>IFERROR('Optional - input raw data'!AB37/'Optional - input raw data'!AB23,"")</f>
        <v/>
      </c>
      <c r="AZ41" s="159" t="str">
        <f>IF(OR(AZ$14="",AZ$15="",AZ$16="",AZ$17="",AX41=""),"",
IF(AX41&lt;=Calcs!CR12,Inline,
IF(AND(AX41&gt;Calcs!CR12,AX41&lt;=Calcs!CS12),Highest20,
IF(AX41&gt;Calcs!CS12,Highest10,""))))</f>
        <v/>
      </c>
      <c r="BA41" s="49"/>
      <c r="BB41" s="154" t="str">
        <f>IFERROR('Optional - input raw data'!AD37/'Optional - input raw data'!AD23,"")</f>
        <v/>
      </c>
      <c r="BD41" s="159" t="str">
        <f>IF(OR(BD$14="",BD$15="",BD$16="",BD$17="",BB41=""),"",
IF(BB41&lt;=Calcs!CZ12,Inline,
IF(AND(BB41&gt;Calcs!CZ12,BB41&lt;=Calcs!DA12),Highest20,
IF(BB41&gt;Calcs!DA12,Highest10,""))))</f>
        <v/>
      </c>
      <c r="BE41" s="49"/>
      <c r="BF41" s="154" t="str">
        <f>IFERROR('Optional - input raw data'!AF37/'Optional - input raw data'!AF23,"")</f>
        <v/>
      </c>
      <c r="BH41" s="159" t="str">
        <f>IF(OR(BH$14="",BH$15="",BH$16="",BH$17="",BF41=""),"",
IF(BF41&lt;=Calcs!DH12,Inline,
IF(AND(BF41&gt;Calcs!DH12,BF41&lt;=Calcs!DI12),Highest20,
IF(BF41&gt;Calcs!DI12,Highest10,""))))</f>
        <v/>
      </c>
      <c r="BI41" s="49"/>
      <c r="BJ41" s="154" t="str">
        <f>IFERROR('Optional - input raw data'!AH37/'Optional - input raw data'!AH23,"")</f>
        <v/>
      </c>
      <c r="BL41" s="159" t="str">
        <f>IF(OR(BL$14="",BL$15="",BL$16="",BL$17="",BJ41=""),"",
IF(BJ41&lt;=Calcs!DP12,Inline,
IF(AND(BJ41&gt;Calcs!DP12,BJ41&lt;=Calcs!DQ12),Highest20,
IF(BJ41&gt;Calcs!DQ12,Highest10,""))))</f>
        <v/>
      </c>
      <c r="BM41" s="49"/>
      <c r="BN41" s="154" t="str">
        <f>IFERROR('Optional - input raw data'!AJ37/'Optional - input raw data'!AJ23,"")</f>
        <v/>
      </c>
      <c r="BP41" s="159" t="str">
        <f>IF(OR(BP$14="",BP$15="",BP$16="",BP$17="",BN41=""),"",
IF(BN41&lt;=Calcs!DX12,Inline,
IF(AND(BN41&gt;Calcs!DX12,BN41&lt;=Calcs!DY12),Highest20,
IF(BN41&gt;Calcs!DY12,Highest10,""))))</f>
        <v/>
      </c>
      <c r="BQ41" s="49"/>
      <c r="BR41" s="154" t="str">
        <f>IFERROR('Optional - input raw data'!AL37/'Optional - input raw data'!AL23,"")</f>
        <v/>
      </c>
      <c r="BT41" s="159" t="str">
        <f>IF(OR(BT$14="",BT$15="",BT$16="",BT$17="",BR41=""),"",
IF(BR41&lt;=Calcs!EF12,Inline,
IF(AND(BR41&gt;Calcs!EF12,BR41&lt;=Calcs!EG12),Highest20,
IF(BR41&gt;Calcs!EG12,Highest10,""))))</f>
        <v/>
      </c>
      <c r="BU41" s="49"/>
      <c r="BV41" s="154" t="str">
        <f>IFERROR('Optional - input raw data'!AN37/'Optional - input raw data'!AN23,"")</f>
        <v/>
      </c>
      <c r="BX41" s="159" t="str">
        <f>IF(OR(BX$14="",BX$15="",BX$16="",BX$17="",BV41=""),"",
IF(BV41&lt;=Calcs!EN12,Inline,
IF(AND(BV41&gt;Calcs!EN12,BV41&lt;=Calcs!EO12),Highest20,
IF(BV41&gt;Calcs!EO12,Highest10,""))))</f>
        <v/>
      </c>
      <c r="BY41" s="49"/>
      <c r="BZ41" s="154" t="str">
        <f>IFERROR('Optional - input raw data'!AP37/'Optional - input raw data'!AP23,"")</f>
        <v/>
      </c>
      <c r="CB41" s="159" t="str">
        <f>IF(OR(CB$14="",CB$15="",CB$16="",CB$17="",BZ41=""),"",
IF(BZ41&lt;=Calcs!EV12,Inline,
IF(AND(BZ41&gt;Calcs!EV12,BZ41&lt;=Calcs!EW12),Highest20,
IF(BZ41&gt;Calcs!EW12,Highest10,""))))</f>
        <v/>
      </c>
      <c r="CC41" s="49"/>
      <c r="CD41" s="154" t="str">
        <f>IFERROR('Optional - input raw data'!AR37/'Optional - input raw data'!AR23,Calcs!$A$75)</f>
        <v/>
      </c>
      <c r="CF41" s="159" t="str">
        <f>IF(OR(CF$14="",CF$15="",CF$16="",CF$17="",CD41=""),"",
IF(CD41&lt;=Calcs!FD12,Inline,
IF(AND(CD41&gt;Calcs!FD12,CD41&lt;=Calcs!FE12),Highest20,
IF(CD41&gt;Calcs!FE12,Highest10,""))))</f>
        <v/>
      </c>
      <c r="CG41" s="7"/>
    </row>
    <row r="42" spans="2:85" ht="17.100000000000001" customHeight="1" x14ac:dyDescent="0.2">
      <c r="B42" s="6"/>
      <c r="C42" s="223" t="s">
        <v>28</v>
      </c>
      <c r="D42" s="219" t="s">
        <v>58</v>
      </c>
      <c r="E42" s="49"/>
      <c r="F42" s="155">
        <f>IFERROR(SUM('Optional - input raw data'!F40,'Optional - input raw data'!F41,'Optional - input raw data'!F42,'Optional - input raw data'!F44)/'Optional - input raw data'!F23,Calcs!$A$75)</f>
        <v>3.6008927482179889E-2</v>
      </c>
      <c r="H42" s="159" t="str">
        <f ca="1">IF(OR(H$14="",H$15="",H$16="",H$17="",F42=""),"",
IF(F42&lt;=Calcs!H13,Inline,
IF(AND(F42&gt;Calcs!H13,F42&lt;=Calcs!I13),Highest20,
IF(F42&gt;Calcs!I13,Highest10,""))))</f>
        <v>Highest 20% of similar schools</v>
      </c>
      <c r="I42" s="49"/>
      <c r="J42" s="155" t="str">
        <f>IFERROR(SUM('Optional - input raw data'!H40,'Optional - input raw data'!H41,'Optional - input raw data'!H42,'Optional - input raw data'!H44)/'Optional - input raw data'!H23,Calcs!$A$75)</f>
        <v/>
      </c>
      <c r="L42" s="159" t="str">
        <f>IF(OR(L$14="",L$15="",L$16="",L$17="",J42=""),"",
IF(J42&lt;=Calcs!P13,Inline,
IF(AND(J42&gt;Calcs!P13,J42&lt;=Calcs!Q13),Highest20,
IF(J42&gt;Calcs!Q13,Highest10,""))))</f>
        <v/>
      </c>
      <c r="M42" s="49"/>
      <c r="N42" s="155" t="str">
        <f>IFERROR(SUM('Optional - input raw data'!J40,'Optional - input raw data'!J41,'Optional - input raw data'!J42,'Optional - input raw data'!J44)/'Optional - input raw data'!J23,Calcs!$A$75)</f>
        <v/>
      </c>
      <c r="P42" s="159" t="str">
        <f>IF(OR(P$14="",P$15="",P$16="",P$17="",N42=""),"",
IF(N42&lt;=Calcs!X13,Inline,
IF(AND(N42&gt;Calcs!X13,N42&lt;=Calcs!Y13),Highest20,
IF(N42&gt;Calcs!Y13,Highest10,""))))</f>
        <v/>
      </c>
      <c r="Q42" s="49"/>
      <c r="R42" s="155" t="str">
        <f>IFERROR(SUM('Optional - input raw data'!L40,'Optional - input raw data'!L41,'Optional - input raw data'!L42,'Optional - input raw data'!L44)/'Optional - input raw data'!L23,Calcs!$A$75)</f>
        <v/>
      </c>
      <c r="T42" s="159" t="str">
        <f>IF(OR(T$14="",T$15="",T$16="",T$17="",R42=""),"",
IF(R42&lt;=Calcs!AF13,Inline,
IF(AND(R42&gt;Calcs!AF13,R42&lt;=Calcs!AG13),Highest20,
IF(R42&gt;Calcs!AG13,Highest10,""))))</f>
        <v/>
      </c>
      <c r="U42" s="49"/>
      <c r="V42" s="155" t="str">
        <f>IFERROR(SUM('Optional - input raw data'!N40,'Optional - input raw data'!N41,'Optional - input raw data'!N42,'Optional - input raw data'!N44)/'Optional - input raw data'!N23,"")</f>
        <v/>
      </c>
      <c r="X42" s="159" t="str">
        <f>IF(OR(X$14="",X$15="",X$16="",X$17="",V42=""),"",
IF(V42&lt;=Calcs!AN13,Inline,
IF(AND(V42&gt;Calcs!AN13,V42&lt;=Calcs!AO13),Highest20,
IF(V42&gt;Calcs!AO13,Highest10,""))))</f>
        <v/>
      </c>
      <c r="Y42" s="49"/>
      <c r="Z42" s="155" t="str">
        <f>IFERROR(SUM('Optional - input raw data'!P40,'Optional - input raw data'!P41,'Optional - input raw data'!P42,'Optional - input raw data'!P44)/'Optional - input raw data'!P23,"")</f>
        <v/>
      </c>
      <c r="AB42" s="159" t="str">
        <f>IF(OR(AB$14="",AB$15="",AB$16="",AB$17="",Z42=""),"",
IF(Z42&lt;=Calcs!AV13,Inline,
IF(AND(Z42&gt;Calcs!AV13,Z42&lt;=Calcs!AW13),Highest20,
IF(Z42&gt;Calcs!AW13,Highest10,""))))</f>
        <v/>
      </c>
      <c r="AC42" s="49"/>
      <c r="AD42" s="155" t="str">
        <f>IFERROR(SUM('Optional - input raw data'!R40,'Optional - input raw data'!R41,'Optional - input raw data'!R42,'Optional - input raw data'!R44)/'Optional - input raw data'!R23,"")</f>
        <v/>
      </c>
      <c r="AF42" s="159" t="str">
        <f>IF(OR(AF$14="",AF$15="",AF$16="",AF$17="",AD42=""),"",
IF(AD42&lt;=Calcs!BD13,Inline,
IF(AND(AD42&gt;Calcs!BD13,AD42&lt;=Calcs!BE13),Highest20,
IF(AD42&gt;Calcs!BE13,Highest10,""))))</f>
        <v/>
      </c>
      <c r="AG42" s="49"/>
      <c r="AH42" s="155" t="str">
        <f>IFERROR(SUM('Optional - input raw data'!T40,'Optional - input raw data'!T41,'Optional - input raw data'!T42,'Optional - input raw data'!T44)/'Optional - input raw data'!T23,"")</f>
        <v/>
      </c>
      <c r="AJ42" s="159" t="str">
        <f>IF(OR(AJ$14="",AJ$15="",AJ$16="",AJ$17="",AH42=""),"",
IF(AH42&lt;=Calcs!BL13,Inline,
IF(AND(AH42&gt;Calcs!BL13,AH42&lt;=Calcs!BM13),Highest20,
IF(AH42&gt;Calcs!BM13,Highest10,""))))</f>
        <v/>
      </c>
      <c r="AK42" s="49"/>
      <c r="AL42" s="155" t="str">
        <f>IFERROR(SUM('Optional - input raw data'!V40,'Optional - input raw data'!V41,'Optional - input raw data'!V42,'Optional - input raw data'!V44)/'Optional - input raw data'!V23,"")</f>
        <v/>
      </c>
      <c r="AN42" s="159" t="str">
        <f>IF(OR(AN$14="",AN$15="",AN$16="",AN$17="",AL42=""),"",
IF(AL42&lt;=Calcs!BT13,Inline,
IF(AND(AL42&gt;Calcs!BT13,AL42&lt;=Calcs!BU13),Highest20,
IF(AL42&gt;Calcs!BU13,Highest10,""))))</f>
        <v/>
      </c>
      <c r="AO42" s="49"/>
      <c r="AP42" s="155" t="str">
        <f>IFERROR(SUM('Optional - input raw data'!X40,'Optional - input raw data'!X41,'Optional - input raw data'!X42,'Optional - input raw data'!X44)/'Optional - input raw data'!X23,"")</f>
        <v/>
      </c>
      <c r="AR42" s="159" t="str">
        <f>IF(OR(AR$14="",AR$15="",AR$16="",AR$17="",AP42=""),"",
IF(AP42&lt;=Calcs!CB13,Inline,
IF(AND(AP42&gt;Calcs!CB13,AP42&lt;=Calcs!CC13),Highest20,
IF(AP42&gt;Calcs!CC13,Highest10,""))))</f>
        <v/>
      </c>
      <c r="AS42" s="49"/>
      <c r="AT42" s="155" t="str">
        <f>IFERROR(SUM('Optional - input raw data'!Z40,'Optional - input raw data'!Z41,'Optional - input raw data'!Z42,'Optional - input raw data'!Z44)/'Optional - input raw data'!Z23,"")</f>
        <v/>
      </c>
      <c r="AV42" s="159" t="str">
        <f>IF(OR(AV$14="",AV$15="",AV$16="",AV$17="",AT42=""),"",
IF(AT42&lt;=Calcs!CJ13,Inline,
IF(AND(AT42&gt;Calcs!CJ13,AT42&lt;=Calcs!CK13),Highest20,
IF(AT42&gt;Calcs!CK13,Highest10,""))))</f>
        <v/>
      </c>
      <c r="AW42" s="49"/>
      <c r="AX42" s="155" t="str">
        <f>IFERROR(SUM('Optional - input raw data'!AB40,'Optional - input raw data'!AB41,'Optional - input raw data'!AB42,'Optional - input raw data'!AB44)/'Optional - input raw data'!AB23,"")</f>
        <v/>
      </c>
      <c r="AZ42" s="159" t="str">
        <f>IF(OR(AZ$14="",AZ$15="",AZ$16="",AZ$17="",AX42=""),"",
IF(AX42&lt;=Calcs!CR13,Inline,
IF(AND(AX42&gt;Calcs!CR13,AX42&lt;=Calcs!CS13),Highest20,
IF(AX42&gt;Calcs!CS13,Highest10,""))))</f>
        <v/>
      </c>
      <c r="BA42" s="49"/>
      <c r="BB42" s="155" t="str">
        <f>IFERROR(SUM('Optional - input raw data'!AD40,'Optional - input raw data'!AD41,'Optional - input raw data'!AD42,'Optional - input raw data'!AD44)/'Optional - input raw data'!AD23,"")</f>
        <v/>
      </c>
      <c r="BD42" s="159" t="str">
        <f>IF(OR(BD$14="",BD$15="",BD$16="",BD$17="",BB42=""),"",
IF(BB42&lt;=Calcs!CZ13,Inline,
IF(AND(BB42&gt;Calcs!CZ13,BB42&lt;=Calcs!DA13),Highest20,
IF(BB42&gt;Calcs!DA13,Highest10,""))))</f>
        <v/>
      </c>
      <c r="BE42" s="49"/>
      <c r="BF42" s="155" t="str">
        <f>IFERROR(SUM('Optional - input raw data'!AF40,'Optional - input raw data'!AF41,'Optional - input raw data'!AF42,'Optional - input raw data'!AF44)/'Optional - input raw data'!AF23,"")</f>
        <v/>
      </c>
      <c r="BH42" s="159" t="str">
        <f>IF(OR(BH$14="",BH$15="",BH$16="",BH$17="",BF42=""),"",
IF(BF42&lt;=Calcs!DH13,Inline,
IF(AND(BF42&gt;Calcs!DH13,BF42&lt;=Calcs!DI13),Highest20,
IF(BF42&gt;Calcs!DI13,Highest10,""))))</f>
        <v/>
      </c>
      <c r="BI42" s="49"/>
      <c r="BJ42" s="155" t="str">
        <f>IFERROR(SUM('Optional - input raw data'!AH40,'Optional - input raw data'!AH41,'Optional - input raw data'!AH42,'Optional - input raw data'!AH44)/'Optional - input raw data'!AH23,"")</f>
        <v/>
      </c>
      <c r="BL42" s="159" t="str">
        <f>IF(OR(BL$14="",BL$15="",BL$16="",BL$17="",BJ42=""),"",
IF(BJ42&lt;=Calcs!DP13,Inline,
IF(AND(BJ42&gt;Calcs!DP13,BJ42&lt;=Calcs!DQ13),Highest20,
IF(BJ42&gt;Calcs!DQ13,Highest10,""))))</f>
        <v/>
      </c>
      <c r="BM42" s="49"/>
      <c r="BN42" s="155" t="str">
        <f>IFERROR(SUM('Optional - input raw data'!AJ40,'Optional - input raw data'!AJ41,'Optional - input raw data'!AJ42,'Optional - input raw data'!AJ44)/'Optional - input raw data'!AJ23,"")</f>
        <v/>
      </c>
      <c r="BP42" s="159" t="str">
        <f>IF(OR(BP$14="",BP$15="",BP$16="",BP$17="",BN42=""),"",
IF(BN42&lt;=Calcs!DX13,Inline,
IF(AND(BN42&gt;Calcs!DX13,BN42&lt;=Calcs!DY13),Highest20,
IF(BN42&gt;Calcs!DY13,Highest10,""))))</f>
        <v/>
      </c>
      <c r="BQ42" s="49"/>
      <c r="BR42" s="155" t="str">
        <f>IFERROR(SUM('Optional - input raw data'!AL40,'Optional - input raw data'!AL41,'Optional - input raw data'!AL42,'Optional - input raw data'!AL44)/'Optional - input raw data'!AL23,"")</f>
        <v/>
      </c>
      <c r="BT42" s="159" t="str">
        <f>IF(OR(BT$14="",BT$15="",BT$16="",BT$17="",BR42=""),"",
IF(BR42&lt;=Calcs!EF13,Inline,
IF(AND(BR42&gt;Calcs!EF13,BR42&lt;=Calcs!EG13),Highest20,
IF(BR42&gt;Calcs!EG13,Highest10,""))))</f>
        <v/>
      </c>
      <c r="BU42" s="49"/>
      <c r="BV42" s="155" t="str">
        <f>IFERROR(SUM('Optional - input raw data'!AN40,'Optional - input raw data'!AN41,'Optional - input raw data'!AN42,'Optional - input raw data'!AN44)/'Optional - input raw data'!AN23,"")</f>
        <v/>
      </c>
      <c r="BX42" s="159" t="str">
        <f>IF(OR(BX$14="",BX$15="",BX$16="",BX$17="",BV42=""),"",
IF(BV42&lt;=Calcs!EN13,Inline,
IF(AND(BV42&gt;Calcs!EN13,BV42&lt;=Calcs!EO13),Highest20,
IF(BV42&gt;Calcs!EO13,Highest10,""))))</f>
        <v/>
      </c>
      <c r="BY42" s="49"/>
      <c r="BZ42" s="155" t="str">
        <f>IFERROR(SUM('Optional - input raw data'!AP40,'Optional - input raw data'!AP41,'Optional - input raw data'!AP42,'Optional - input raw data'!AP44)/'Optional - input raw data'!AP23,"")</f>
        <v/>
      </c>
      <c r="CB42" s="159" t="str">
        <f>IF(OR(CB$14="",CB$15="",CB$16="",CB$17="",BZ42=""),"",
IF(BZ42&lt;=Calcs!EV13,Inline,
IF(AND(BZ42&gt;Calcs!EV13,BZ42&lt;=Calcs!EW13),Highest20,
IF(BZ42&gt;Calcs!EW13,Highest10,""))))</f>
        <v/>
      </c>
      <c r="CC42" s="49"/>
      <c r="CD42" s="155" t="str">
        <f>IFERROR(SUM('Optional - input raw data'!AR40,'Optional - input raw data'!AR41,'Optional - input raw data'!AR42,'Optional - input raw data'!AR44)/'Optional - input raw data'!AR23,Calcs!$A$75)</f>
        <v/>
      </c>
      <c r="CF42" s="159" t="str">
        <f>IF(OR(CF$14="",CF$15="",CF$16="",CF$17="",CD42=""),"",
IF(CD42&lt;=Calcs!FD13,Inline,
IF(AND(CD42&gt;Calcs!FD13,CD42&lt;=Calcs!FE13),Highest20,
IF(CD42&gt;Calcs!FE13,Highest10,""))))</f>
        <v/>
      </c>
      <c r="CG42" s="7"/>
    </row>
    <row r="43" spans="2:85" ht="17.100000000000001" customHeight="1" x14ac:dyDescent="0.2">
      <c r="B43" s="6"/>
      <c r="C43" s="223" t="s">
        <v>29</v>
      </c>
      <c r="D43" s="219" t="s">
        <v>58</v>
      </c>
      <c r="E43" s="49"/>
      <c r="F43" s="155">
        <f>IFERROR(SUM('Optional - input raw data'!F38,'Optional - input raw data'!F45,'Optional - input raw data'!F46,'Optional - input raw data'!F50,'Optional - input raw data'!F65)/'Optional - input raw data'!F23,Calcs!$A$75)</f>
        <v>5.4737877751442163E-2</v>
      </c>
      <c r="H43" s="159" t="str">
        <f ca="1">IF(OR(H$14="",H$15="",H$16="",H$17="",F43=""),"",
IF(F43&lt;=Calcs!H14,Inline,
IF(AND(F43&gt;Calcs!H14,F43&lt;=Calcs!I14),Highest20,
IF(F43&gt;Calcs!I14,Highest10,""))))</f>
        <v>Broadly in line with similar schools</v>
      </c>
      <c r="I43" s="49"/>
      <c r="J43" s="155" t="str">
        <f>IFERROR(SUM('Optional - input raw data'!H38,'Optional - input raw data'!H45,'Optional - input raw data'!H46,'Optional - input raw data'!H50,'Optional - input raw data'!H65)/'Optional - input raw data'!H23,Calcs!$A$75)</f>
        <v/>
      </c>
      <c r="L43" s="159" t="str">
        <f>IF(OR(L$14="",L$15="",L$16="",L$17="",J43=""),"",
IF(J43&lt;=Calcs!P14,Inline,
IF(AND(J43&gt;Calcs!P14,J43&lt;=Calcs!Q14),Highest20,
IF(J43&gt;Calcs!Q14,Highest10,""))))</f>
        <v/>
      </c>
      <c r="M43" s="49"/>
      <c r="N43" s="155" t="str">
        <f>IFERROR(SUM('Optional - input raw data'!J38,'Optional - input raw data'!J45,'Optional - input raw data'!J46,'Optional - input raw data'!J50,'Optional - input raw data'!J65)/'Optional - input raw data'!J23,Calcs!$A$75)</f>
        <v/>
      </c>
      <c r="P43" s="159" t="str">
        <f>IF(OR(P$14="",P$15="",P$16="",P$17="",N43=""),"",
IF(N43&lt;=Calcs!X14,Inline,
IF(AND(N43&gt;Calcs!X14,N43&lt;=Calcs!Y14),Highest20,
IF(N43&gt;Calcs!Y14,Highest10,""))))</f>
        <v/>
      </c>
      <c r="Q43" s="49"/>
      <c r="R43" s="155" t="str">
        <f>IFERROR(SUM('Optional - input raw data'!L38,'Optional - input raw data'!L45,'Optional - input raw data'!L46,'Optional - input raw data'!L50,'Optional - input raw data'!L65)/'Optional - input raw data'!L23,Calcs!$A$75)</f>
        <v/>
      </c>
      <c r="T43" s="159" t="str">
        <f>IF(OR(T$14="",T$15="",T$16="",T$17="",R43=""),"",
IF(R43&lt;=Calcs!AF14,Inline,
IF(AND(R43&gt;Calcs!AF14,R43&lt;=Calcs!AG14),Highest20,
IF(R43&gt;Calcs!AG14,Highest10,""))))</f>
        <v/>
      </c>
      <c r="U43" s="49"/>
      <c r="V43" s="155" t="str">
        <f>IFERROR(SUM('Optional - input raw data'!N38,'Optional - input raw data'!N45,'Optional - input raw data'!N46,'Optional - input raw data'!N50,'Optional - input raw data'!N65)/'Optional - input raw data'!N23,"")</f>
        <v/>
      </c>
      <c r="X43" s="159" t="str">
        <f>IF(OR(X$14="",X$15="",X$16="",X$17="",V43=""),"",
IF(V43&lt;=Calcs!AN14,Inline,
IF(AND(V43&gt;Calcs!AN14,V43&lt;=Calcs!AO14),Highest20,
IF(V43&gt;Calcs!AO14,Highest10,""))))</f>
        <v/>
      </c>
      <c r="Y43" s="49"/>
      <c r="Z43" s="155" t="str">
        <f>IFERROR(SUM('Optional - input raw data'!P38,'Optional - input raw data'!P45,'Optional - input raw data'!P46,'Optional - input raw data'!P50,'Optional - input raw data'!P65)/'Optional - input raw data'!P23,"")</f>
        <v/>
      </c>
      <c r="AB43" s="159" t="str">
        <f>IF(OR(AB$14="",AB$15="",AB$16="",AB$17="",Z43=""),"",
IF(Z43&lt;=Calcs!AV14,Inline,
IF(AND(Z43&gt;Calcs!AV14,Z43&lt;=Calcs!AW14),Highest20,
IF(Z43&gt;Calcs!AW14,Highest10,""))))</f>
        <v/>
      </c>
      <c r="AC43" s="49"/>
      <c r="AD43" s="155" t="str">
        <f>IFERROR(SUM('Optional - input raw data'!R38,'Optional - input raw data'!R45,'Optional - input raw data'!R46,'Optional - input raw data'!R50,'Optional - input raw data'!R65)/'Optional - input raw data'!R23,"")</f>
        <v/>
      </c>
      <c r="AF43" s="159" t="str">
        <f>IF(OR(AF$14="",AF$15="",AF$16="",AF$17="",AD43=""),"",
IF(AD43&lt;=Calcs!BD14,Inline,
IF(AND(AD43&gt;Calcs!BD14,AD43&lt;=Calcs!BE14),Highest20,
IF(AD43&gt;Calcs!BE14,Highest10,""))))</f>
        <v/>
      </c>
      <c r="AG43" s="49"/>
      <c r="AH43" s="155" t="str">
        <f>IFERROR(SUM('Optional - input raw data'!T38,'Optional - input raw data'!T45,'Optional - input raw data'!T46,'Optional - input raw data'!T50,'Optional - input raw data'!T65)/'Optional - input raw data'!T23,"")</f>
        <v/>
      </c>
      <c r="AJ43" s="159" t="str">
        <f>IF(OR(AJ$14="",AJ$15="",AJ$16="",AJ$17="",AH43=""),"",
IF(AH43&lt;=Calcs!BL14,Inline,
IF(AND(AH43&gt;Calcs!BL14,AH43&lt;=Calcs!BM14),Highest20,
IF(AH43&gt;Calcs!BM14,Highest10,""))))</f>
        <v/>
      </c>
      <c r="AK43" s="49"/>
      <c r="AL43" s="155" t="str">
        <f>IFERROR(SUM('Optional - input raw data'!V38,'Optional - input raw data'!V45,'Optional - input raw data'!V46,'Optional - input raw data'!V50,'Optional - input raw data'!V65)/'Optional - input raw data'!V23,"")</f>
        <v/>
      </c>
      <c r="AN43" s="159" t="str">
        <f>IF(OR(AN$14="",AN$15="",AN$16="",AN$17="",AL43=""),"",
IF(AL43&lt;=Calcs!BT14,Inline,
IF(AND(AL43&gt;Calcs!BT14,AL43&lt;=Calcs!BU14),Highest20,
IF(AL43&gt;Calcs!BU14,Highest10,""))))</f>
        <v/>
      </c>
      <c r="AO43" s="49"/>
      <c r="AP43" s="155" t="str">
        <f>IFERROR(SUM('Optional - input raw data'!X38,'Optional - input raw data'!X45,'Optional - input raw data'!X46,'Optional - input raw data'!X50,'Optional - input raw data'!X65)/'Optional - input raw data'!X23,"")</f>
        <v/>
      </c>
      <c r="AR43" s="159" t="str">
        <f>IF(OR(AR$14="",AR$15="",AR$16="",AR$17="",AP43=""),"",
IF(AP43&lt;=Calcs!CB14,Inline,
IF(AND(AP43&gt;Calcs!CB14,AP43&lt;=Calcs!CC14),Highest20,
IF(AP43&gt;Calcs!CC14,Highest10,""))))</f>
        <v/>
      </c>
      <c r="AS43" s="49"/>
      <c r="AT43" s="155" t="str">
        <f>IFERROR(SUM('Optional - input raw data'!Z38,'Optional - input raw data'!Z45,'Optional - input raw data'!Z46,'Optional - input raw data'!Z50,'Optional - input raw data'!Z65)/'Optional - input raw data'!Z23,"")</f>
        <v/>
      </c>
      <c r="AV43" s="159" t="str">
        <f>IF(OR(AV$14="",AV$15="",AV$16="",AV$17="",AT43=""),"",
IF(AT43&lt;=Calcs!CJ14,Inline,
IF(AND(AT43&gt;Calcs!CJ14,AT43&lt;=Calcs!CK14),Highest20,
IF(AT43&gt;Calcs!CK14,Highest10,""))))</f>
        <v/>
      </c>
      <c r="AW43" s="49"/>
      <c r="AX43" s="155" t="str">
        <f>IFERROR(SUM('Optional - input raw data'!AB38,'Optional - input raw data'!AB45,'Optional - input raw data'!AB46,'Optional - input raw data'!AB50,'Optional - input raw data'!AB65)/'Optional - input raw data'!AB23,"")</f>
        <v/>
      </c>
      <c r="AZ43" s="159" t="str">
        <f>IF(OR(AZ$14="",AZ$15="",AZ$16="",AZ$17="",AX43=""),"",
IF(AX43&lt;=Calcs!CR14,Inline,
IF(AND(AX43&gt;Calcs!CR14,AX43&lt;=Calcs!CS14),Highest20,
IF(AX43&gt;Calcs!CS14,Highest10,""))))</f>
        <v/>
      </c>
      <c r="BA43" s="49"/>
      <c r="BB43" s="155" t="str">
        <f>IFERROR(SUM('Optional - input raw data'!AD38,'Optional - input raw data'!AD45,'Optional - input raw data'!AD46,'Optional - input raw data'!AD50,'Optional - input raw data'!AD65)/'Optional - input raw data'!AD23,"")</f>
        <v/>
      </c>
      <c r="BD43" s="159" t="str">
        <f>IF(OR(BD$14="",BD$15="",BD$16="",BD$17="",BB43=""),"",
IF(BB43&lt;=Calcs!CZ14,Inline,
IF(AND(BB43&gt;Calcs!CZ14,BB43&lt;=Calcs!DA14),Highest20,
IF(BB43&gt;Calcs!DA14,Highest10,""))))</f>
        <v/>
      </c>
      <c r="BE43" s="49"/>
      <c r="BF43" s="155" t="str">
        <f>IFERROR(SUM('Optional - input raw data'!AF38,'Optional - input raw data'!AF45,'Optional - input raw data'!AF46,'Optional - input raw data'!AF50,'Optional - input raw data'!AF65)/'Optional - input raw data'!AF23,"")</f>
        <v/>
      </c>
      <c r="BH43" s="159" t="str">
        <f>IF(OR(BH$14="",BH$15="",BH$16="",BH$17="",BF43=""),"",
IF(BF43&lt;=Calcs!DH14,Inline,
IF(AND(BF43&gt;Calcs!DH14,BF43&lt;=Calcs!DI14),Highest20,
IF(BF43&gt;Calcs!DI14,Highest10,""))))</f>
        <v/>
      </c>
      <c r="BI43" s="49"/>
      <c r="BJ43" s="155" t="str">
        <f>IFERROR(SUM('Optional - input raw data'!AH38,'Optional - input raw data'!AH45,'Optional - input raw data'!AH46,'Optional - input raw data'!AH50,'Optional - input raw data'!AH65)/'Optional - input raw data'!AH23,"")</f>
        <v/>
      </c>
      <c r="BL43" s="159" t="str">
        <f>IF(OR(BL$14="",BL$15="",BL$16="",BL$17="",BJ43=""),"",
IF(BJ43&lt;=Calcs!DP14,Inline,
IF(AND(BJ43&gt;Calcs!DP14,BJ43&lt;=Calcs!DQ14),Highest20,
IF(BJ43&gt;Calcs!DQ14,Highest10,""))))</f>
        <v/>
      </c>
      <c r="BM43" s="49"/>
      <c r="BN43" s="155" t="str">
        <f>IFERROR(SUM('Optional - input raw data'!AJ38,'Optional - input raw data'!AJ45,'Optional - input raw data'!AJ46,'Optional - input raw data'!AJ50,'Optional - input raw data'!AJ65)/'Optional - input raw data'!AJ23,"")</f>
        <v/>
      </c>
      <c r="BP43" s="159" t="str">
        <f>IF(OR(BP$14="",BP$15="",BP$16="",BP$17="",BN43=""),"",
IF(BN43&lt;=Calcs!DX14,Inline,
IF(AND(BN43&gt;Calcs!DX14,BN43&lt;=Calcs!DY14),Highest20,
IF(BN43&gt;Calcs!DY14,Highest10,""))))</f>
        <v/>
      </c>
      <c r="BQ43" s="49"/>
      <c r="BR43" s="155" t="str">
        <f>IFERROR(SUM('Optional - input raw data'!AL38,'Optional - input raw data'!AL45,'Optional - input raw data'!AL46,'Optional - input raw data'!AL50,'Optional - input raw data'!AL65)/'Optional - input raw data'!AL23,"")</f>
        <v/>
      </c>
      <c r="BT43" s="159" t="str">
        <f>IF(OR(BT$14="",BT$15="",BT$16="",BT$17="",BR43=""),"",
IF(BR43&lt;=Calcs!EF14,Inline,
IF(AND(BR43&gt;Calcs!EF14,BR43&lt;=Calcs!EG14),Highest20,
IF(BR43&gt;Calcs!EG14,Highest10,""))))</f>
        <v/>
      </c>
      <c r="BU43" s="49"/>
      <c r="BV43" s="155" t="str">
        <f>IFERROR(SUM('Optional - input raw data'!AN38,'Optional - input raw data'!AN45,'Optional - input raw data'!AN46,'Optional - input raw data'!AN50,'Optional - input raw data'!AN65)/'Optional - input raw data'!AN23,"")</f>
        <v/>
      </c>
      <c r="BX43" s="159" t="str">
        <f>IF(OR(BX$14="",BX$15="",BX$16="",BX$17="",BV43=""),"",
IF(BV43&lt;=Calcs!EN14,Inline,
IF(AND(BV43&gt;Calcs!EN14,BV43&lt;=Calcs!EO14),Highest20,
IF(BV43&gt;Calcs!EO14,Highest10,""))))</f>
        <v/>
      </c>
      <c r="BY43" s="49"/>
      <c r="BZ43" s="155" t="str">
        <f>IFERROR(SUM('Optional - input raw data'!AP38,'Optional - input raw data'!AP45,'Optional - input raw data'!AP46,'Optional - input raw data'!AP50,'Optional - input raw data'!AP65)/'Optional - input raw data'!AP23,"")</f>
        <v/>
      </c>
      <c r="CB43" s="159" t="str">
        <f>IF(OR(CB$14="",CB$15="",CB$16="",CB$17="",BZ43=""),"",
IF(BZ43&lt;=Calcs!EV14,Inline,
IF(AND(BZ43&gt;Calcs!EV14,BZ43&lt;=Calcs!EW14),Highest20,
IF(BZ43&gt;Calcs!EW14,Highest10,""))))</f>
        <v/>
      </c>
      <c r="CC43" s="49"/>
      <c r="CD43" s="155" t="str">
        <f>IFERROR(SUM('Optional - input raw data'!AR38,'Optional - input raw data'!AR45,'Optional - input raw data'!AR46,'Optional - input raw data'!AR50,'Optional - input raw data'!AR65)/'Optional - input raw data'!AR23,Calcs!$A$75)</f>
        <v/>
      </c>
      <c r="CF43" s="159" t="str">
        <f>IF(OR(CF$14="",CF$15="",CF$16="",CF$17="",CD43=""),"",
IF(CD43&lt;=Calcs!FD14,Inline,
IF(AND(CD43&gt;Calcs!FD14,CD43&lt;=Calcs!FE14),Highest20,
IF(CD43&gt;Calcs!FE14,Highest10,""))))</f>
        <v/>
      </c>
      <c r="CG43" s="7"/>
    </row>
    <row r="44" spans="2:85" ht="17.100000000000001" customHeight="1" x14ac:dyDescent="0.2">
      <c r="B44" s="6"/>
      <c r="C44" s="223" t="s">
        <v>55</v>
      </c>
      <c r="D44" s="219" t="s">
        <v>58</v>
      </c>
      <c r="E44" s="49"/>
      <c r="F44" s="154">
        <f>IFERROR(SUM('Optional - input raw data'!F53,'Optional - input raw data'!F54,'Optional - input raw data'!F55)/'Optional - input raw data'!F23,Calcs!$A$75)</f>
        <v>5.0330096812422662E-2</v>
      </c>
      <c r="H44" s="159" t="str">
        <f ca="1">IF(OR(H$14="",H$15="",H$16="",H$17="",F44=""),"",
IF(F44&lt;=Calcs!C15,Lowest10,
IF(AND(F44&gt;Calcs!C15,F44&lt;=Calcs!D15),Lowest20,
IF(AND(F44&gt;Calcs!D15,F44&lt;=Calcs!E15),Inline,
IF(AND(F44&gt;Calcs!E15,F44&lt;=Calcs!G15),Middle20,
IF(F44&gt;Calcs!G15,Inline,""))))))</f>
        <v>Lowest 20% of similar schools</v>
      </c>
      <c r="I44" s="49"/>
      <c r="J44" s="154" t="str">
        <f>IFERROR(SUM('Optional - input raw data'!H53,'Optional - input raw data'!H54,'Optional - input raw data'!H55)/'Optional - input raw data'!H23,Calcs!$A$75)</f>
        <v/>
      </c>
      <c r="L44" s="159" t="str">
        <f>IF(OR(L$14="",L$15="",L$16="",L$17="",J44=""),"",
IF(J44&lt;=Calcs!K15,Lowest10,
IF(AND(J44&gt;Calcs!K15,J44&lt;=Calcs!L15),Lowest20,
IF(AND(J44&gt;Calcs!L15,J44&lt;=Calcs!M15),Inline,
IF(AND(J44&gt;Calcs!M15,J44&lt;=Calcs!O15),Middle20,
IF(J44&gt;Calcs!O15,Inline,""))))))</f>
        <v/>
      </c>
      <c r="M44" s="49"/>
      <c r="N44" s="154" t="str">
        <f>IFERROR(SUM('Optional - input raw data'!J53,'Optional - input raw data'!J54,'Optional - input raw data'!J55)/'Optional - input raw data'!J23,Calcs!$A$75)</f>
        <v/>
      </c>
      <c r="P44" s="159" t="str">
        <f>IF(OR(P$14="",P$15="",P$16="",P$17="",N44=""),"",
IF(N44&lt;=Calcs!S15,Lowest10,
IF(AND(N44&gt;Calcs!S15,N44&lt;=Calcs!T15),Lowest20,
IF(AND(N44&gt;Calcs!T15,N44&lt;=Calcs!U15),Inline,
IF(AND(N44&gt;Calcs!U15,N44&lt;=Calcs!W15),Middle20,
IF(N44&gt;Calcs!W15,Inline,""))))))</f>
        <v/>
      </c>
      <c r="Q44" s="49"/>
      <c r="R44" s="154" t="str">
        <f>IFERROR(SUM('Optional - input raw data'!L53,'Optional - input raw data'!L54,'Optional - input raw data'!L55)/'Optional - input raw data'!L23,Calcs!$A$75)</f>
        <v/>
      </c>
      <c r="T44" s="159" t="str">
        <f>IF(OR(T$14="",T$15="",T$16="",T$17="",R44=""),"",
IF(R44&lt;=Calcs!AA15,Lowest10,
IF(AND(R44&gt;Calcs!AA15,R44&lt;=Calcs!AB15),Lowest20,
IF(AND(R44&gt;Calcs!AB15,R44&lt;=Calcs!AC15),Inline,
IF(AND(R44&gt;Calcs!AC15,R44&lt;=Calcs!AE15),Middle20,
IF(R44&gt;Calcs!AE15,Inline,""))))))</f>
        <v/>
      </c>
      <c r="U44" s="49"/>
      <c r="V44" s="154" t="str">
        <f>IFERROR(SUM('Optional - input raw data'!N53,'Optional - input raw data'!N54,'Optional - input raw data'!N55)/'Optional - input raw data'!N23,"")</f>
        <v/>
      </c>
      <c r="X44" s="159" t="str">
        <f>IF(OR(X$14="",X$15="",X$16="",X$17="",V44=""),"",
IF(V44&lt;=Calcs!AI15,Lowest10,
IF(AND(V44&gt;Calcs!AI15,V44&lt;=Calcs!AJ15),Lowest20,
IF(AND(V44&gt;Calcs!AJ15,V44&lt;=Calcs!AK15),Inline,
IF(AND(V44&gt;Calcs!AK15,V44&lt;=Calcs!AM15),Middle20,
IF(V44&gt;Calcs!AM15,Inline,""))))))</f>
        <v/>
      </c>
      <c r="Y44" s="49"/>
      <c r="Z44" s="154" t="str">
        <f>IFERROR(SUM('Optional - input raw data'!P53,'Optional - input raw data'!P54,'Optional - input raw data'!P55)/'Optional - input raw data'!P23,"")</f>
        <v/>
      </c>
      <c r="AB44" s="159" t="str">
        <f>IF(OR(AB$14="",AB$15="",AB$16="",AB$17="",Z44=""),"",
IF(Z44&lt;=Calcs!AQ15,Lowest10,
IF(AND(Z44&gt;Calcs!AQ15,Z44&lt;=Calcs!AR15),Lowest20,
IF(AND(Z44&gt;Calcs!AR15,Z44&lt;=Calcs!AS15),Inline,
IF(AND(Z44&gt;Calcs!AS15,Z44&lt;=Calcs!AU15),Middle20,
IF(Z44&gt;Calcs!AU15,Inline,""))))))</f>
        <v/>
      </c>
      <c r="AC44" s="49"/>
      <c r="AD44" s="154" t="str">
        <f>IFERROR(SUM('Optional - input raw data'!R53,'Optional - input raw data'!R54,'Optional - input raw data'!R55)/'Optional - input raw data'!R23,"")</f>
        <v/>
      </c>
      <c r="AF44" s="159" t="str">
        <f>IF(OR(AF$14="",AF$15="",AF$16="",AF$17="",AD44=""),"",
IF(AD44&lt;=Calcs!AY15,Lowest10,
IF(AND(AD44&gt;Calcs!AY15,AD44&lt;=Calcs!AZ15),Lowest20,
IF(AND(AD44&gt;Calcs!AZ15,AD44&lt;=Calcs!BA15),Inline,
IF(AND(AD44&gt;Calcs!BA15,AD44&lt;=Calcs!BC15),Middle20,
IF(AD44&gt;Calcs!BC15,Inline,""))))))</f>
        <v/>
      </c>
      <c r="AG44" s="49"/>
      <c r="AH44" s="154" t="str">
        <f>IFERROR(SUM('Optional - input raw data'!T53,'Optional - input raw data'!T54,'Optional - input raw data'!T55)/'Optional - input raw data'!T23,"")</f>
        <v/>
      </c>
      <c r="AJ44" s="159" t="str">
        <f>IF(OR(AJ$14="",AJ$15="",AJ$16="",AJ$17="",AH44=""),"",
IF(AH44&lt;=Calcs!BG15,Lowest10,
IF(AND(AH44&gt;Calcs!BG15,AH44&lt;=Calcs!BH15),Lowest20,
IF(AND(AH44&gt;Calcs!BH15,AH44&lt;=Calcs!BI15),Inline,
IF(AND(AH44&gt;Calcs!BI15,AH44&lt;=Calcs!BK15),Middle20,
IF(AH44&gt;Calcs!BK15,Inline,""))))))</f>
        <v/>
      </c>
      <c r="AK44" s="49"/>
      <c r="AL44" s="154" t="str">
        <f>IFERROR(SUM('Optional - input raw data'!V53,'Optional - input raw data'!V54,'Optional - input raw data'!V55)/'Optional - input raw data'!V23,"")</f>
        <v/>
      </c>
      <c r="AN44" s="159" t="str">
        <f>IF(OR(AN$14="",AN$15="",AN$16="",AN$17="",AL44=""),"",
IF(AL44&lt;=Calcs!BO15,Lowest10,
IF(AND(AL44&gt;Calcs!BO15,AL44&lt;=Calcs!BP15),Lowest20,
IF(AND(AL44&gt;Calcs!BP15,AL44&lt;=Calcs!BQ15),Inline,
IF(AND(AL44&gt;Calcs!BQ15,AL44&lt;=Calcs!BS15),Middle20,
IF(AL44&gt;Calcs!BS15,Inline,""))))))</f>
        <v/>
      </c>
      <c r="AO44" s="49"/>
      <c r="AP44" s="154" t="str">
        <f>IFERROR(SUM('Optional - input raw data'!X53,'Optional - input raw data'!X54,'Optional - input raw data'!X55)/'Optional - input raw data'!X23,"")</f>
        <v/>
      </c>
      <c r="AR44" s="159" t="str">
        <f>IF(OR(AR$14="",AR$15="",AR$16="",AR$17="",AP44=""),"",
IF(AP44&lt;=Calcs!BW15,Lowest10,
IF(AND(AP44&gt;Calcs!BW15,AP44&lt;=Calcs!BX15),Lowest20,
IF(AND(AP44&gt;Calcs!BX15,AP44&lt;=Calcs!BY15),Inline,
IF(AND(AP44&gt;Calcs!BY15,AP44&lt;=Calcs!CA15),Middle20,
IF(AP44&gt;Calcs!CA15,Inline,""))))))</f>
        <v/>
      </c>
      <c r="AS44" s="49"/>
      <c r="AT44" s="154" t="str">
        <f>IFERROR(SUM('Optional - input raw data'!Z53,'Optional - input raw data'!Z54,'Optional - input raw data'!Z55)/'Optional - input raw data'!Z23,"")</f>
        <v/>
      </c>
      <c r="AV44" s="159" t="str">
        <f>IF(OR(AV$14="",AV$15="",AV$16="",AV$17="",AT44=""),"",
IF(AT44&lt;=Calcs!CE15,Lowest10,
IF(AND(AT44&gt;Calcs!CE15,AT44&lt;=Calcs!CF15),Lowest20,
IF(AND(AT44&gt;Calcs!CF15,AT44&lt;=Calcs!CG15),Inline,
IF(AND(AT44&gt;Calcs!CG15,AT44&lt;=Calcs!CI15),Middle20,
IF(AT44&gt;Calcs!CI15,Inline,""))))))</f>
        <v/>
      </c>
      <c r="AW44" s="49"/>
      <c r="AX44" s="154" t="str">
        <f>IFERROR(SUM('Optional - input raw data'!AB53,'Optional - input raw data'!AB54,'Optional - input raw data'!AB55)/'Optional - input raw data'!AB23,"")</f>
        <v/>
      </c>
      <c r="AZ44" s="159" t="str">
        <f>IF(OR(AZ$14="",AZ$15="",AZ$16="",AZ$17="",AX44=""),"",
IF(AX44&lt;=Calcs!CM15,Lowest10,
IF(AND(AX44&gt;Calcs!CM15,AX44&lt;=Calcs!CN15),Lowest20,
IF(AND(AX44&gt;Calcs!CN15,AX44&lt;=Calcs!CO15),Inline,
IF(AND(AX44&gt;Calcs!CO15,AX44&lt;=Calcs!CQ15),Middle20,
IF(AX44&gt;Calcs!CQ15,Inline,""))))))</f>
        <v/>
      </c>
      <c r="BA44" s="49"/>
      <c r="BB44" s="154" t="str">
        <f>IFERROR(SUM('Optional - input raw data'!AD53,'Optional - input raw data'!AD54,'Optional - input raw data'!AD55)/'Optional - input raw data'!AD23,"")</f>
        <v/>
      </c>
      <c r="BD44" s="159" t="str">
        <f>IF(OR(BD$14="",BD$15="",BD$16="",BD$17="",BB44=""),"",
IF(BB44&lt;=Calcs!CU15,Lowest10,
IF(AND(BB44&gt;Calcs!CU15,BB44&lt;=Calcs!CV15),Lowest20,
IF(AND(BB44&gt;Calcs!CV15,BB44&lt;=Calcs!CW15),Inline,
IF(AND(BB44&gt;Calcs!CW15,BB44&lt;=Calcs!CY15),Middle20,
IF(BB44&gt;Calcs!CY15,Inline,""))))))</f>
        <v/>
      </c>
      <c r="BE44" s="49"/>
      <c r="BF44" s="154" t="str">
        <f>IFERROR(SUM('Optional - input raw data'!AF53,'Optional - input raw data'!AF54,'Optional - input raw data'!AF55)/'Optional - input raw data'!AF23,"")</f>
        <v/>
      </c>
      <c r="BH44" s="159" t="str">
        <f>IF(OR(BH$14="",BH$15="",BH$16="",BH$17="",BF44=""),"",
IF(BF44&lt;=Calcs!DC15,Lowest10,
IF(AND(BF44&gt;Calcs!DC15,BF44&lt;=Calcs!DD15),Lowest20,
IF(AND(BF44&gt;Calcs!DD15,BF44&lt;=Calcs!DE15),Inline,
IF(AND(BF44&gt;Calcs!DE15,BF44&lt;=Calcs!DG15),Middle20,
IF(BF44&gt;Calcs!DG15,Inline,""))))))</f>
        <v/>
      </c>
      <c r="BI44" s="49"/>
      <c r="BJ44" s="154" t="str">
        <f>IFERROR(SUM('Optional - input raw data'!AH53,'Optional - input raw data'!AH54,'Optional - input raw data'!AH55)/'Optional - input raw data'!AH23,"")</f>
        <v/>
      </c>
      <c r="BL44" s="159" t="str">
        <f>IF(OR(BL$14="",BL$15="",BL$16="",BL$17="",BJ44=""),"",
IF(BJ44&lt;=Calcs!DK15,Lowest10,
IF(AND(BJ44&gt;Calcs!DK15,BJ44&lt;=Calcs!DL15),Lowest20,
IF(AND(BJ44&gt;Calcs!DL15,BJ44&lt;=Calcs!DM15),Inline,
IF(AND(BJ44&gt;Calcs!DM15,BJ44&lt;=Calcs!DO15),Middle20,
IF(BJ44&gt;Calcs!DO15,Inline,""))))))</f>
        <v/>
      </c>
      <c r="BM44" s="49"/>
      <c r="BN44" s="154" t="str">
        <f>IFERROR(SUM('Optional - input raw data'!AJ53,'Optional - input raw data'!AJ54,'Optional - input raw data'!AJ55)/'Optional - input raw data'!AJ23,"")</f>
        <v/>
      </c>
      <c r="BP44" s="159" t="str">
        <f>IF(OR(BP$14="",BP$15="",BP$16="",BP$17="",BN44=""),"",
IF(BN44&lt;=Calcs!DS15,Lowest10,
IF(AND(BN44&gt;Calcs!DS15,BN44&lt;=Calcs!DT15),Lowest20,
IF(AND(BN44&gt;Calcs!DT15,BN44&lt;=Calcs!DU15),Inline,
IF(AND(BN44&gt;Calcs!DU15,BN44&lt;=Calcs!DW15),Middle20,
IF(BN44&gt;Calcs!DW15,Inline,""))))))</f>
        <v/>
      </c>
      <c r="BQ44" s="49"/>
      <c r="BR44" s="154" t="str">
        <f>IFERROR(SUM('Optional - input raw data'!AL53,'Optional - input raw data'!AL54,'Optional - input raw data'!AL55)/'Optional - input raw data'!AL23,"")</f>
        <v/>
      </c>
      <c r="BT44" s="159" t="str">
        <f>IF(OR(BT$14="",BT$15="",BT$16="",BT$17="",BR44=""),"",
IF(BR44&lt;=Calcs!EA15,Lowest10,
IF(AND(BR44&gt;Calcs!EA15,BR44&lt;=Calcs!EB15),Lowest20,
IF(AND(BR44&gt;Calcs!EB15,BR44&lt;=Calcs!EC15),Inline,
IF(AND(BR44&gt;Calcs!EC15,BR44&lt;=Calcs!EE15),Middle20,
IF(BR44&gt;Calcs!EE15,Inline,""))))))</f>
        <v/>
      </c>
      <c r="BU44" s="49"/>
      <c r="BV44" s="154" t="str">
        <f>IFERROR(SUM('Optional - input raw data'!AN53,'Optional - input raw data'!AN54,'Optional - input raw data'!AN55)/'Optional - input raw data'!AN23,"")</f>
        <v/>
      </c>
      <c r="BX44" s="159" t="str">
        <f>IF(OR(BX$14="",BX$15="",BX$16="",BX$17="",BV44=""),"",
IF(BV44&lt;=Calcs!EI15,Lowest10,
IF(AND(BV44&gt;Calcs!EI15,BV44&lt;=Calcs!EJ15),Lowest20,
IF(AND(BV44&gt;Calcs!EJ15,BV44&lt;=Calcs!EK15),Inline,
IF(AND(BV44&gt;Calcs!EK15,BV44&lt;=Calcs!EM15),Middle20,
IF(BV44&gt;Calcs!EM15,Inline,""))))))</f>
        <v/>
      </c>
      <c r="BY44" s="49"/>
      <c r="BZ44" s="154" t="str">
        <f>IFERROR(SUM('Optional - input raw data'!AP53,'Optional - input raw data'!AP54,'Optional - input raw data'!AP55)/'Optional - input raw data'!AP23,"")</f>
        <v/>
      </c>
      <c r="CB44" s="159" t="str">
        <f>IF(OR(CB$14="",CB$15="",CB$16="",CB$17="",BZ44=""),"",
IF(BZ44&lt;=Calcs!EQ15,Lowest10,
IF(AND(BZ44&gt;Calcs!EQ15,BZ44&lt;=Calcs!ER15),Lowest20,
IF(AND(BZ44&gt;Calcs!ER15,BZ44&lt;=Calcs!ES15),Inline,
IF(AND(BZ44&gt;Calcs!ES15,BZ44&lt;=Calcs!EU15),Middle20,
IF(BZ44&gt;Calcs!EU15,Inline,""))))))</f>
        <v/>
      </c>
      <c r="CC44" s="49"/>
      <c r="CD44" s="154" t="str">
        <f>IFERROR(SUM('Optional - input raw data'!AR53,'Optional - input raw data'!AR54,'Optional - input raw data'!AR55)/'Optional - input raw data'!AR23,Calcs!$A$75)</f>
        <v/>
      </c>
      <c r="CF44" s="159" t="str">
        <f>IF(OR(CF$14="",CF$15="",CF$16="",CF$17="",CD44=""),"",
IF(CD44&lt;=Calcs!EY15,Lowest10,
IF(AND(CD44&gt;Calcs!EY15,CD44&lt;=Calcs!EZ15),Lowest20,
IF(AND(CD44&gt;Calcs!EZ15,CD44&lt;=Calcs!FA15),Inline,
IF(AND(CD44&gt;Calcs!FA15,CD44&lt;=Calcs!FC15),Middle20,
IF(CD44&gt;Calcs!FC15,Inline,""))))))</f>
        <v/>
      </c>
      <c r="CG44" s="7"/>
    </row>
    <row r="45" spans="2:85" ht="17.100000000000001" customHeight="1" x14ac:dyDescent="0.2">
      <c r="B45" s="6"/>
      <c r="C45" s="223" t="s">
        <v>31</v>
      </c>
      <c r="D45" s="219" t="s">
        <v>58</v>
      </c>
      <c r="E45" s="49"/>
      <c r="F45" s="155">
        <f>IFERROR('Optional - input raw data'!F48/'Optional - input raw data'!F23,Calcs!$A$75)</f>
        <v>1.96064762369508E-2</v>
      </c>
      <c r="H45" s="159" t="str">
        <f ca="1">IF(OR(H$14="",H$15="",H$16="",H$17="",F45=""),"",
IF(F45&lt;=Calcs!H16,Inline,
IF(AND(F45&gt;Calcs!H16,F45&lt;=Calcs!I16),Highest20,
IF(F45&gt;Calcs!I16,Highest10,""))))</f>
        <v>Highest 20% of similar schools</v>
      </c>
      <c r="I45" s="49"/>
      <c r="J45" s="155" t="str">
        <f>IFERROR('Optional - input raw data'!H48/'Optional - input raw data'!H23,Calcs!$A$75)</f>
        <v/>
      </c>
      <c r="L45" s="159" t="str">
        <f>IF(OR(L$14="",L$15="",L$16="",L$17="",J45=""),"",
IF(J45&lt;=Calcs!P16,Inline,
IF(AND(J45&gt;Calcs!P16,J45&lt;=Calcs!Q16),Highest20,
IF(J45&gt;Calcs!Q16,Highest10,""))))</f>
        <v/>
      </c>
      <c r="M45" s="49"/>
      <c r="N45" s="155" t="str">
        <f>IFERROR('Optional - input raw data'!J48/'Optional - input raw data'!J23,Calcs!$A$75)</f>
        <v/>
      </c>
      <c r="P45" s="159" t="str">
        <f>IF(OR(P$14="",P$15="",P$16="",P$17="",N45=""),"",
IF(N45&lt;=Calcs!X16,Inline,
IF(AND(N45&gt;Calcs!X16,N45&lt;=Calcs!Y16),Highest20,
IF(N45&gt;Calcs!Y16,Highest10,""))))</f>
        <v/>
      </c>
      <c r="Q45" s="49"/>
      <c r="R45" s="155" t="str">
        <f>IFERROR('Optional - input raw data'!L48/'Optional - input raw data'!L23,Calcs!$A$75)</f>
        <v/>
      </c>
      <c r="T45" s="159" t="str">
        <f>IF(OR(T$14="",T$15="",T$16="",T$17="",R45=""),"",
IF(R45&lt;=Calcs!AF16,Inline,
IF(AND(R45&gt;Calcs!AF16,R45&lt;=Calcs!AG16),Highest20,
IF(R45&gt;Calcs!AG16,Highest10,""))))</f>
        <v/>
      </c>
      <c r="U45" s="49"/>
      <c r="V45" s="155" t="str">
        <f>IFERROR('Optional - input raw data'!N48/'Optional - input raw data'!N23,"")</f>
        <v/>
      </c>
      <c r="X45" s="159" t="str">
        <f>IF(OR(X$14="",X$15="",X$16="",X$17="",V45=""),"",
IF(V45&lt;=Calcs!AN16,Inline,
IF(AND(V45&gt;Calcs!AN16,V45&lt;=Calcs!AO16),Highest20,
IF(V45&gt;Calcs!AO16,Highest10,""))))</f>
        <v/>
      </c>
      <c r="Y45" s="49"/>
      <c r="Z45" s="155" t="str">
        <f>IFERROR('Optional - input raw data'!P48/'Optional - input raw data'!P23,"")</f>
        <v/>
      </c>
      <c r="AB45" s="159" t="str">
        <f>IF(OR(AB$14="",AB$15="",AB$16="",AB$17="",Z45=""),"",
IF(Z45&lt;=Calcs!AV16,Inline,
IF(AND(Z45&gt;Calcs!AV16,Z45&lt;=Calcs!AW16),Highest20,
IF(Z45&gt;Calcs!AW16,Highest10,""))))</f>
        <v/>
      </c>
      <c r="AC45" s="49"/>
      <c r="AD45" s="155" t="str">
        <f>IFERROR('Optional - input raw data'!R48/'Optional - input raw data'!R23,"")</f>
        <v/>
      </c>
      <c r="AF45" s="159" t="str">
        <f>IF(OR(AF$14="",AF$15="",AF$16="",AF$17="",AD45=""),"",
IF(AD45&lt;=Calcs!BD16,Inline,
IF(AND(AD45&gt;Calcs!BD16,AD45&lt;=Calcs!BE16),Highest20,
IF(AD45&gt;Calcs!BE16,Highest10,""))))</f>
        <v/>
      </c>
      <c r="AG45" s="49"/>
      <c r="AH45" s="155" t="str">
        <f>IFERROR('Optional - input raw data'!T48/'Optional - input raw data'!T23,"")</f>
        <v/>
      </c>
      <c r="AJ45" s="159" t="str">
        <f>IF(OR(AJ$14="",AJ$15="",AJ$16="",AJ$17="",AH45=""),"",
IF(AH45&lt;=Calcs!BL16,Inline,
IF(AND(AH45&gt;Calcs!BL16,AH45&lt;=Calcs!BM16),Highest20,
IF(AH45&gt;Calcs!BM16,Highest10,""))))</f>
        <v/>
      </c>
      <c r="AK45" s="49"/>
      <c r="AL45" s="155" t="str">
        <f>IFERROR('Optional - input raw data'!V48/'Optional - input raw data'!V23,"")</f>
        <v/>
      </c>
      <c r="AN45" s="159" t="str">
        <f>IF(OR(AN$14="",AN$15="",AN$16="",AN$17="",AL45=""),"",
IF(AL45&lt;=Calcs!BT16,Inline,
IF(AND(AL45&gt;Calcs!BT16,AL45&lt;=Calcs!BU16),Highest20,
IF(AL45&gt;Calcs!BU16,Highest10,""))))</f>
        <v/>
      </c>
      <c r="AO45" s="49"/>
      <c r="AP45" s="155" t="str">
        <f>IFERROR('Optional - input raw data'!X48/'Optional - input raw data'!X23,"")</f>
        <v/>
      </c>
      <c r="AR45" s="159" t="str">
        <f>IF(OR(AR$14="",AR$15="",AR$16="",AR$17="",AP45=""),"",
IF(AP45&lt;=Calcs!CB16,Inline,
IF(AND(AP45&gt;Calcs!CB16,AP45&lt;=Calcs!CC16),Highest20,
IF(AP45&gt;Calcs!CC16,Highest10,""))))</f>
        <v/>
      </c>
      <c r="AS45" s="49"/>
      <c r="AT45" s="155" t="str">
        <f>IFERROR('Optional - input raw data'!Z48/'Optional - input raw data'!Z23,"")</f>
        <v/>
      </c>
      <c r="AV45" s="159" t="str">
        <f>IF(OR(AV$14="",AV$15="",AV$16="",AV$17="",AT45=""),"",
IF(AT45&lt;=Calcs!CJ16,Inline,
IF(AND(AT45&gt;Calcs!CJ16,AT45&lt;=Calcs!CK16),Highest20,
IF(AT45&gt;Calcs!CK16,Highest10,""))))</f>
        <v/>
      </c>
      <c r="AW45" s="49"/>
      <c r="AX45" s="155" t="str">
        <f>IFERROR('Optional - input raw data'!AB48/'Optional - input raw data'!AB23,"")</f>
        <v/>
      </c>
      <c r="AZ45" s="159" t="str">
        <f>IF(OR(AZ$14="",AZ$15="",AZ$16="",AZ$17="",AX45=""),"",
IF(AX45&lt;=Calcs!CR16,Inline,
IF(AND(AX45&gt;Calcs!CR16,AX45&lt;=Calcs!CS16),Highest20,
IF(AX45&gt;Calcs!CS16,Highest10,""))))</f>
        <v/>
      </c>
      <c r="BA45" s="49"/>
      <c r="BB45" s="155" t="str">
        <f>IFERROR('Optional - input raw data'!AD48/'Optional - input raw data'!AD23,"")</f>
        <v/>
      </c>
      <c r="BD45" s="159" t="str">
        <f>IF(OR(BD$14="",BD$15="",BD$16="",BD$17="",BB45=""),"",
IF(BB45&lt;=Calcs!CZ16,Inline,
IF(AND(BB45&gt;Calcs!CZ16,BB45&lt;=Calcs!DA16),Highest20,
IF(BB45&gt;Calcs!DA16,Highest10,""))))</f>
        <v/>
      </c>
      <c r="BE45" s="49"/>
      <c r="BF45" s="155" t="str">
        <f>IFERROR('Optional - input raw data'!AF48/'Optional - input raw data'!AF23,"")</f>
        <v/>
      </c>
      <c r="BH45" s="159" t="str">
        <f>IF(OR(BH$14="",BH$15="",BH$16="",BH$17="",BF45=""),"",
IF(BF45&lt;=Calcs!DH16,Inline,
IF(AND(BF45&gt;Calcs!DH16,BF45&lt;=Calcs!DI16),Highest20,
IF(BF45&gt;Calcs!DI16,Highest10,""))))</f>
        <v/>
      </c>
      <c r="BI45" s="49"/>
      <c r="BJ45" s="155" t="str">
        <f>IFERROR('Optional - input raw data'!AH48/'Optional - input raw data'!AH23,"")</f>
        <v/>
      </c>
      <c r="BL45" s="159" t="str">
        <f>IF(OR(BL$14="",BL$15="",BL$16="",BL$17="",BJ45=""),"",
IF(BJ45&lt;=Calcs!DP16,Inline,
IF(AND(BJ45&gt;Calcs!DP16,BJ45&lt;=Calcs!DQ16),Highest20,
IF(BJ45&gt;Calcs!DQ16,Highest10,""))))</f>
        <v/>
      </c>
      <c r="BM45" s="49"/>
      <c r="BN45" s="155" t="str">
        <f>IFERROR('Optional - input raw data'!AJ48/'Optional - input raw data'!AJ23,"")</f>
        <v/>
      </c>
      <c r="BP45" s="159" t="str">
        <f>IF(OR(BP$14="",BP$15="",BP$16="",BP$17="",BN45=""),"",
IF(BN45&lt;=Calcs!DX16,Inline,
IF(AND(BN45&gt;Calcs!DX16,BN45&lt;=Calcs!DY16),Highest20,
IF(BN45&gt;Calcs!DY16,Highest10,""))))</f>
        <v/>
      </c>
      <c r="BQ45" s="49"/>
      <c r="BR45" s="155" t="str">
        <f>IFERROR('Optional - input raw data'!AL48/'Optional - input raw data'!AL23,"")</f>
        <v/>
      </c>
      <c r="BT45" s="159" t="str">
        <f>IF(OR(BT$14="",BT$15="",BT$16="",BT$17="",BR45=""),"",
IF(BR45&lt;=Calcs!EF16,Inline,
IF(AND(BR45&gt;Calcs!EF16,BR45&lt;=Calcs!EG16),Highest20,
IF(BR45&gt;Calcs!EG16,Highest10,""))))</f>
        <v/>
      </c>
      <c r="BU45" s="49"/>
      <c r="BV45" s="155" t="str">
        <f>IFERROR('Optional - input raw data'!AN48/'Optional - input raw data'!AN23,"")</f>
        <v/>
      </c>
      <c r="BX45" s="159" t="str">
        <f>IF(OR(BX$14="",BX$15="",BX$16="",BX$17="",BV45=""),"",
IF(BV45&lt;=Calcs!EN16,Inline,
IF(AND(BV45&gt;Calcs!EN16,BV45&lt;=Calcs!EO16),Highest20,
IF(BV45&gt;Calcs!EO16,Highest10,""))))</f>
        <v/>
      </c>
      <c r="BY45" s="49"/>
      <c r="BZ45" s="155" t="str">
        <f>IFERROR('Optional - input raw data'!AP48/'Optional - input raw data'!AP23,"")</f>
        <v/>
      </c>
      <c r="CB45" s="159" t="str">
        <f>IF(OR(CB$14="",CB$15="",CB$16="",CB$17="",BZ45=""),"",
IF(BZ45&lt;=Calcs!EV16,Inline,
IF(AND(BZ45&gt;Calcs!EV16,BZ45&lt;=Calcs!EW16),Highest20,
IF(BZ45&gt;Calcs!EW16,Highest10,""))))</f>
        <v/>
      </c>
      <c r="CC45" s="49"/>
      <c r="CD45" s="155" t="str">
        <f>IFERROR('Optional - input raw data'!AR48/'Optional - input raw data'!AR23,Calcs!$A$75)</f>
        <v/>
      </c>
      <c r="CF45" s="159" t="str">
        <f>IF(OR(CF$14="",CF$15="",CF$16="",CF$17="",CD45=""),"",
IF(CD45&lt;=Calcs!FD16,Inline,
IF(AND(CD45&gt;Calcs!FD16,CD45&lt;=Calcs!FE16),Highest20,
IF(CD45&gt;Calcs!FE16,Highest10,""))))</f>
        <v/>
      </c>
      <c r="CG45" s="7"/>
    </row>
    <row r="46" spans="2:85" ht="17.100000000000001" customHeight="1" x14ac:dyDescent="0.2">
      <c r="B46" s="6"/>
      <c r="C46" s="223" t="s">
        <v>30</v>
      </c>
      <c r="D46" s="219" t="s">
        <v>58</v>
      </c>
      <c r="E46" s="49"/>
      <c r="F46" s="155">
        <f>IFERROR(SUM('Optional - input raw data'!F39,'Optional - input raw data'!F47,'Optional - input raw data'!F49,'Optional - input raw data'!F51,'Optional - input raw data'!F52,'Optional - input raw data'!F56,'Optional - input raw data'!F58,'Optional - input raw data'!F59,'Optional - input raw data'!F60,'Optional - input raw data'!F61,'Optional - input raw data'!F62,'Optional - input raw data'!F63,'Optional - input raw data'!F64)/'Optional - input raw data'!F23,Calcs!$A$75)</f>
        <v>6.7556292371773644E-2</v>
      </c>
      <c r="H46" s="159" t="str">
        <f>IF(OR(H$14="",H$15="",H$16="",H$17="",F46=""),"","N/A")</f>
        <v>N/A</v>
      </c>
      <c r="I46" s="49"/>
      <c r="J46" s="155" t="str">
        <f>IFERROR(SUM('Optional - input raw data'!H39,'Optional - input raw data'!H47,'Optional - input raw data'!H49,'Optional - input raw data'!H51,'Optional - input raw data'!H52,'Optional - input raw data'!H56,'Optional - input raw data'!H58,'Optional - input raw data'!H59,'Optional - input raw data'!H60,'Optional - input raw data'!H61,'Optional - input raw data'!H62,'Optional - input raw data'!H63,'Optional - input raw data'!H64)/'Optional - input raw data'!H23,Calcs!$A$75)</f>
        <v/>
      </c>
      <c r="L46" s="159" t="str">
        <f>IF(OR(L$14="",L$15="",L$16="",L$17="",J46=""),"","N/A")</f>
        <v/>
      </c>
      <c r="M46" s="49"/>
      <c r="N46" s="155" t="str">
        <f>IFERROR(SUM('Optional - input raw data'!J39,'Optional - input raw data'!J47,'Optional - input raw data'!J49,'Optional - input raw data'!J51,'Optional - input raw data'!J52,'Optional - input raw data'!J56,'Optional - input raw data'!J58,'Optional - input raw data'!J59,'Optional - input raw data'!J60,'Optional - input raw data'!J61,'Optional - input raw data'!J62,'Optional - input raw data'!J63,'Optional - input raw data'!J64)/'Optional - input raw data'!J23,Calcs!$A$75)</f>
        <v/>
      </c>
      <c r="P46" s="159" t="str">
        <f>IF(OR(P$14="",P$15="",P$16="",P$17="",N46=""),"","N/A")</f>
        <v/>
      </c>
      <c r="Q46" s="49"/>
      <c r="R46" s="155" t="str">
        <f>IFERROR(SUM('Optional - input raw data'!L39,'Optional - input raw data'!L47,'Optional - input raw data'!L49,'Optional - input raw data'!L51,'Optional - input raw data'!L52,'Optional - input raw data'!L56,'Optional - input raw data'!L58,'Optional - input raw data'!L59,'Optional - input raw data'!L60,'Optional - input raw data'!L61,'Optional - input raw data'!L62,'Optional - input raw data'!L63,'Optional - input raw data'!L64)/'Optional - input raw data'!L23,Calcs!$A$75)</f>
        <v/>
      </c>
      <c r="T46" s="159" t="str">
        <f>IF(OR(T$14="",T$15="",T$16="",T$17="",R46=""),"","N/A")</f>
        <v/>
      </c>
      <c r="U46" s="49"/>
      <c r="V46" s="155" t="str">
        <f>IFERROR(SUM('Optional - input raw data'!N39,'Optional - input raw data'!N47,'Optional - input raw data'!N49,'Optional - input raw data'!N51,'Optional - input raw data'!N52,'Optional - input raw data'!N56,'Optional - input raw data'!N58,'Optional - input raw data'!N59,'Optional - input raw data'!N60,'Optional - input raw data'!N61,'Optional - input raw data'!N62,'Optional - input raw data'!N63,'Optional - input raw data'!N64)/'Optional - input raw data'!N23,"")</f>
        <v/>
      </c>
      <c r="X46" s="159" t="str">
        <f>IF(OR(X$14="",X$15="",X$16="",X$17="",V46=""),"","N/A")</f>
        <v/>
      </c>
      <c r="Y46" s="49"/>
      <c r="Z46" s="155" t="str">
        <f>IFERROR(SUM('Optional - input raw data'!P39,'Optional - input raw data'!P47,'Optional - input raw data'!P49,'Optional - input raw data'!P51,'Optional - input raw data'!P52,'Optional - input raw data'!P56,'Optional - input raw data'!P58,'Optional - input raw data'!P59,'Optional - input raw data'!P60,'Optional - input raw data'!P61,'Optional - input raw data'!P62,'Optional - input raw data'!P63,'Optional - input raw data'!P64)/'Optional - input raw data'!P23,"")</f>
        <v/>
      </c>
      <c r="AB46" s="159" t="str">
        <f>IF(OR(AB$14="",AB$15="",AB$16="",AB$17="",Z46=""),"","N/A")</f>
        <v/>
      </c>
      <c r="AC46" s="49"/>
      <c r="AD46" s="155" t="str">
        <f>IFERROR(SUM('Optional - input raw data'!R39,'Optional - input raw data'!R47,'Optional - input raw data'!R49,'Optional - input raw data'!R51,'Optional - input raw data'!R52,'Optional - input raw data'!R56,'Optional - input raw data'!R58,'Optional - input raw data'!R59,'Optional - input raw data'!R60,'Optional - input raw data'!R61,'Optional - input raw data'!R62,'Optional - input raw data'!R63,'Optional - input raw data'!R64)/'Optional - input raw data'!R23,"")</f>
        <v/>
      </c>
      <c r="AF46" s="159" t="str">
        <f>IF(OR(AF$14="",AF$15="",AF$16="",AF$17="",AD46=""),"","N/A")</f>
        <v/>
      </c>
      <c r="AG46" s="49"/>
      <c r="AH46" s="155" t="str">
        <f>IFERROR(SUM('Optional - input raw data'!T39,'Optional - input raw data'!T47,'Optional - input raw data'!T49,'Optional - input raw data'!T51,'Optional - input raw data'!T52,'Optional - input raw data'!T56,'Optional - input raw data'!T58,'Optional - input raw data'!T59,'Optional - input raw data'!T60,'Optional - input raw data'!T61,'Optional - input raw data'!T62,'Optional - input raw data'!T63,'Optional - input raw data'!T64)/'Optional - input raw data'!T23,"")</f>
        <v/>
      </c>
      <c r="AJ46" s="159" t="str">
        <f>IF(OR(AJ$14="",AJ$15="",AJ$16="",AJ$17="",AH46=""),"","N/A")</f>
        <v/>
      </c>
      <c r="AK46" s="49"/>
      <c r="AL46" s="155" t="str">
        <f>IFERROR(SUM('Optional - input raw data'!V39,'Optional - input raw data'!V47,'Optional - input raw data'!V49,'Optional - input raw data'!V51,'Optional - input raw data'!V52,'Optional - input raw data'!V56,'Optional - input raw data'!V58,'Optional - input raw data'!V59,'Optional - input raw data'!V60,'Optional - input raw data'!V61,'Optional - input raw data'!V62,'Optional - input raw data'!V63,'Optional - input raw data'!V64)/'Optional - input raw data'!V23,"")</f>
        <v/>
      </c>
      <c r="AN46" s="159" t="str">
        <f>IF(OR(AN$14="",AN$15="",AN$16="",AN$17="",AL46=""),"","N/A")</f>
        <v/>
      </c>
      <c r="AO46" s="49"/>
      <c r="AP46" s="155" t="str">
        <f>IFERROR(SUM('Optional - input raw data'!X39,'Optional - input raw data'!X47,'Optional - input raw data'!X49,'Optional - input raw data'!X51,'Optional - input raw data'!X52,'Optional - input raw data'!X56,'Optional - input raw data'!X58,'Optional - input raw data'!X59,'Optional - input raw data'!X60,'Optional - input raw data'!X61,'Optional - input raw data'!X62,'Optional - input raw data'!X63,'Optional - input raw data'!X64)/'Optional - input raw data'!X23,"")</f>
        <v/>
      </c>
      <c r="AR46" s="159" t="str">
        <f>IF(OR(AR$14="",AR$15="",AR$16="",AR$17="",AP46=""),"","N/A")</f>
        <v/>
      </c>
      <c r="AS46" s="49"/>
      <c r="AT46" s="155" t="str">
        <f>IFERROR(SUM('Optional - input raw data'!Z39,'Optional - input raw data'!Z47,'Optional - input raw data'!Z49,'Optional - input raw data'!Z51,'Optional - input raw data'!Z52,'Optional - input raw data'!Z56,'Optional - input raw data'!Z58,'Optional - input raw data'!Z59,'Optional - input raw data'!Z60,'Optional - input raw data'!Z61,'Optional - input raw data'!Z62,'Optional - input raw data'!Z63,'Optional - input raw data'!Z64)/'Optional - input raw data'!Z23,"")</f>
        <v/>
      </c>
      <c r="AV46" s="159" t="str">
        <f>IF(OR(AV$14="",AV$15="",AV$16="",AV$17="",AT46=""),"","N/A")</f>
        <v/>
      </c>
      <c r="AW46" s="49"/>
      <c r="AX46" s="155" t="str">
        <f>IFERROR(SUM('Optional - input raw data'!AB39,'Optional - input raw data'!AB47,'Optional - input raw data'!AB49,'Optional - input raw data'!AB51,'Optional - input raw data'!AB52,'Optional - input raw data'!AB56,'Optional - input raw data'!AB58,'Optional - input raw data'!AB59,'Optional - input raw data'!AB60,'Optional - input raw data'!AB61,'Optional - input raw data'!AB62,'Optional - input raw data'!AB63,'Optional - input raw data'!AB64)/'Optional - input raw data'!AB23,"")</f>
        <v/>
      </c>
      <c r="AZ46" s="159" t="str">
        <f>IF(OR(AZ$14="",AZ$15="",AZ$16="",AZ$17="",AX46=""),"","N/A")</f>
        <v/>
      </c>
      <c r="BA46" s="49"/>
      <c r="BB46" s="155" t="str">
        <f>IFERROR(SUM('Optional - input raw data'!AD39,'Optional - input raw data'!AD47,'Optional - input raw data'!AD49,'Optional - input raw data'!AD51,'Optional - input raw data'!AD52,'Optional - input raw data'!AD56,'Optional - input raw data'!AD58,'Optional - input raw data'!AD59,'Optional - input raw data'!AD60,'Optional - input raw data'!AD61,'Optional - input raw data'!AD62,'Optional - input raw data'!AD63,'Optional - input raw data'!AD64)/'Optional - input raw data'!AD23,"")</f>
        <v/>
      </c>
      <c r="BD46" s="159" t="str">
        <f>IF(OR(BD$14="",BD$15="",BD$16="",BD$17="",BB46=""),"","N/A")</f>
        <v/>
      </c>
      <c r="BE46" s="49"/>
      <c r="BF46" s="155" t="str">
        <f>IFERROR(SUM('Optional - input raw data'!AF39,'Optional - input raw data'!AF47,'Optional - input raw data'!AF49,'Optional - input raw data'!AF51,'Optional - input raw data'!AF52,'Optional - input raw data'!AF56,'Optional - input raw data'!AF58,'Optional - input raw data'!AF59,'Optional - input raw data'!AF60,'Optional - input raw data'!AF61,'Optional - input raw data'!AF62,'Optional - input raw data'!AF63,'Optional - input raw data'!AF64)/'Optional - input raw data'!AF23,"")</f>
        <v/>
      </c>
      <c r="BH46" s="159" t="str">
        <f>IF(OR(BH$14="",BH$15="",BH$16="",BH$17="",BF46=""),"","N/A")</f>
        <v/>
      </c>
      <c r="BI46" s="49"/>
      <c r="BJ46" s="155" t="str">
        <f>IFERROR(SUM('Optional - input raw data'!AH39,'Optional - input raw data'!AH47,'Optional - input raw data'!AH49,'Optional - input raw data'!AH51,'Optional - input raw data'!AH52,'Optional - input raw data'!AH56,'Optional - input raw data'!AH58,'Optional - input raw data'!AH59,'Optional - input raw data'!AH60,'Optional - input raw data'!AH61,'Optional - input raw data'!AH62,'Optional - input raw data'!AH63,'Optional - input raw data'!AH64)/'Optional - input raw data'!AH23,"")</f>
        <v/>
      </c>
      <c r="BL46" s="159" t="str">
        <f>IF(OR(BL$14="",BL$15="",BL$16="",BL$17="",BJ46=""),"","N/A")</f>
        <v/>
      </c>
      <c r="BM46" s="49"/>
      <c r="BN46" s="155" t="str">
        <f>IFERROR(SUM('Optional - input raw data'!AJ39,'Optional - input raw data'!AJ47,'Optional - input raw data'!AJ49,'Optional - input raw data'!AJ51,'Optional - input raw data'!AJ52,'Optional - input raw data'!AJ56,'Optional - input raw data'!AJ58,'Optional - input raw data'!AJ59,'Optional - input raw data'!AJ60,'Optional - input raw data'!AJ61,'Optional - input raw data'!AJ62,'Optional - input raw data'!AJ63,'Optional - input raw data'!AJ64)/'Optional - input raw data'!AJ23,"")</f>
        <v/>
      </c>
      <c r="BP46" s="159" t="str">
        <f>IF(OR(BP$14="",BP$15="",BP$16="",BP$17="",BN46=""),"","N/A")</f>
        <v/>
      </c>
      <c r="BQ46" s="49"/>
      <c r="BR46" s="155" t="str">
        <f>IFERROR(SUM('Optional - input raw data'!AL39,'Optional - input raw data'!AL47,'Optional - input raw data'!AL49,'Optional - input raw data'!AL51,'Optional - input raw data'!AL52,'Optional - input raw data'!AL56,'Optional - input raw data'!AL58,'Optional - input raw data'!AL59,'Optional - input raw data'!AL60,'Optional - input raw data'!AL61,'Optional - input raw data'!AL62,'Optional - input raw data'!AL63,'Optional - input raw data'!AL64)/'Optional - input raw data'!AL23,"")</f>
        <v/>
      </c>
      <c r="BT46" s="159" t="str">
        <f>IF(OR(BT$14="",BT$15="",BT$16="",BT$17="",BR46=""),"","N/A")</f>
        <v/>
      </c>
      <c r="BU46" s="49"/>
      <c r="BV46" s="155" t="str">
        <f>IFERROR(SUM('Optional - input raw data'!AN39,'Optional - input raw data'!AN47,'Optional - input raw data'!AN49,'Optional - input raw data'!AN51,'Optional - input raw data'!AN52,'Optional - input raw data'!AN56,'Optional - input raw data'!AN58,'Optional - input raw data'!AN59,'Optional - input raw data'!AN60,'Optional - input raw data'!AN61,'Optional - input raw data'!AN62,'Optional - input raw data'!AN63,'Optional - input raw data'!AN64)/'Optional - input raw data'!AN23,"")</f>
        <v/>
      </c>
      <c r="BX46" s="159" t="str">
        <f>IF(OR(BX$14="",BX$15="",BX$16="",BX$17="",BV46=""),"","N/A")</f>
        <v/>
      </c>
      <c r="BY46" s="49"/>
      <c r="BZ46" s="155" t="str">
        <f>IFERROR(SUM('Optional - input raw data'!AP39,'Optional - input raw data'!AP47,'Optional - input raw data'!AP49,'Optional - input raw data'!AP51,'Optional - input raw data'!AP52,'Optional - input raw data'!AP56,'Optional - input raw data'!AP58,'Optional - input raw data'!AP59,'Optional - input raw data'!AP60,'Optional - input raw data'!AP61,'Optional - input raw data'!AP62,'Optional - input raw data'!AP63,'Optional - input raw data'!AP64)/'Optional - input raw data'!AP23,"")</f>
        <v/>
      </c>
      <c r="CB46" s="159" t="str">
        <f>IF(OR(CB$14="",CB$15="",CB$16="",CB$17="",BZ46=""),"","N/A")</f>
        <v/>
      </c>
      <c r="CC46" s="49"/>
      <c r="CD46" s="155" t="str">
        <f>IFERROR(SUM('Optional - input raw data'!AR39,'Optional - input raw data'!AR47,'Optional - input raw data'!AR49,'Optional - input raw data'!AR51,'Optional - input raw data'!AR52,'Optional - input raw data'!AR56,'Optional - input raw data'!AR58,'Optional - input raw data'!AR59,'Optional - input raw data'!AR60,'Optional - input raw data'!AR61,'Optional - input raw data'!AR62,'Optional - input raw data'!AR63,'Optional - input raw data'!AR64)/'Optional - input raw data'!AR23,Calcs!$A$75)</f>
        <v/>
      </c>
      <c r="CF46" s="159" t="str">
        <f>IF(OR(CF$14="",CF$15="",CF$16="",CF$17="",CD46=""),"","N/A")</f>
        <v/>
      </c>
      <c r="CG46" s="7"/>
    </row>
    <row r="47" spans="2:85" ht="15.75" x14ac:dyDescent="0.25">
      <c r="B47" s="6"/>
      <c r="C47" s="10"/>
      <c r="D47" s="10"/>
      <c r="E47" s="10"/>
      <c r="F47" s="233" t="str">
        <f>IF(OR(ROUND(SUM(F38:F46),3)=100%,SUM(F38:F46)=0),"","Section must sum to 100%")</f>
        <v/>
      </c>
      <c r="G47" s="10"/>
      <c r="H47" s="10"/>
      <c r="I47" s="10"/>
      <c r="J47" s="233" t="str">
        <f>IF(OR(ROUND(SUM(J38:J46),3)=100%,SUM(J38:J46)=0),"","Section must sum to 100%")</f>
        <v/>
      </c>
      <c r="K47" s="10"/>
      <c r="L47" s="10"/>
      <c r="M47" s="10"/>
      <c r="N47" s="233" t="str">
        <f>IF(OR(ROUND(SUM(N38:N46),3)=100%,SUM(N38:N46)=0),"","Section must sum to 100%")</f>
        <v/>
      </c>
      <c r="O47" s="10"/>
      <c r="P47" s="10"/>
      <c r="Q47" s="10"/>
      <c r="R47" s="233" t="str">
        <f>IF(OR(ROUND(SUM(R38:R46),3)=100%,SUM(R38:R46)=0),"","Section must sum to 100%")</f>
        <v/>
      </c>
      <c r="S47" s="10"/>
      <c r="T47" s="10"/>
      <c r="U47" s="10"/>
      <c r="V47" s="233" t="str">
        <f>IF(OR(ROUND(SUM(V38:V46),3)=100%,SUM(V38:V46)=0),"","Section must sum to 100%")</f>
        <v/>
      </c>
      <c r="W47" s="10"/>
      <c r="X47" s="10"/>
      <c r="Y47" s="10"/>
      <c r="Z47" s="233" t="str">
        <f>IF(OR(ROUND(SUM(Z38:Z46),3)=100%,SUM(Z38:Z46)=0),"","Section must sum to 100%")</f>
        <v/>
      </c>
      <c r="AA47" s="10"/>
      <c r="AB47" s="10"/>
      <c r="AC47" s="10"/>
      <c r="AD47" s="233" t="str">
        <f>IF(OR(ROUND(SUM(AD38:AD46),3)=100%,SUM(AD38:AD46)=0),"","Section must sum to 100%")</f>
        <v/>
      </c>
      <c r="AE47" s="10"/>
      <c r="AF47" s="10"/>
      <c r="AG47" s="10"/>
      <c r="AH47" s="233" t="str">
        <f>IF(OR(ROUND(SUM(AH38:AH46),3)=100%,SUM(AH38:AH46)=0),"","Section must sum to 100%")</f>
        <v/>
      </c>
      <c r="AI47" s="10"/>
      <c r="AJ47" s="10"/>
      <c r="AK47" s="10"/>
      <c r="AL47" s="233" t="str">
        <f>IF(OR(ROUND(SUM(AL38:AL46),3)=100%,SUM(AL38:AL46)=0),"","Section must sum to 100%")</f>
        <v/>
      </c>
      <c r="AM47" s="10"/>
      <c r="AN47" s="10"/>
      <c r="AO47" s="10"/>
      <c r="AP47" s="233" t="str">
        <f>IF(OR(ROUND(SUM(AP38:AP46),3)=100%,SUM(AP38:AP46)=0),"","Section must sum to 100%")</f>
        <v/>
      </c>
      <c r="AQ47" s="10"/>
      <c r="AR47" s="10"/>
      <c r="AS47" s="10"/>
      <c r="AT47" s="233" t="str">
        <f>IF(OR(ROUND(SUM(AT38:AT46),3)=100%,SUM(AT38:AT46)=0),"","Section must sum to 100%")</f>
        <v/>
      </c>
      <c r="AU47" s="10"/>
      <c r="AV47" s="10"/>
      <c r="AW47" s="10"/>
      <c r="AX47" s="233" t="str">
        <f>IF(OR(ROUND(SUM(AX38:AX46),3)=100%,SUM(AX38:AX46)=0),"","Section must sum to 100%")</f>
        <v/>
      </c>
      <c r="AY47" s="10"/>
      <c r="AZ47" s="10"/>
      <c r="BA47" s="10"/>
      <c r="BB47" s="233" t="str">
        <f>IF(OR(ROUND(SUM(BB38:BB46),3)=100%,SUM(BB38:BB46)=0),"","Section must sum to 100%")</f>
        <v/>
      </c>
      <c r="BC47" s="10"/>
      <c r="BD47" s="10"/>
      <c r="BE47" s="10"/>
      <c r="BF47" s="233" t="str">
        <f>IF(OR(ROUND(SUM(BF38:BF46),3)=100%,SUM(BF38:BF46)=0),"","Section must sum to 100%")</f>
        <v/>
      </c>
      <c r="BG47" s="10"/>
      <c r="BH47" s="10"/>
      <c r="BI47" s="10"/>
      <c r="BJ47" s="233" t="str">
        <f>IF(OR(ROUND(SUM(BJ38:BJ46),3)=100%,SUM(BJ38:BJ46)=0),"","Section must sum to 100%")</f>
        <v/>
      </c>
      <c r="BK47" s="10"/>
      <c r="BL47" s="10"/>
      <c r="BM47" s="10"/>
      <c r="BN47" s="233" t="str">
        <f>IF(OR(ROUND(SUM(BN38:BN46),3)=100%,SUM(BN38:BN46)=0),"","Section must sum to 100%")</f>
        <v/>
      </c>
      <c r="BO47" s="10"/>
      <c r="BP47" s="10"/>
      <c r="BQ47" s="10"/>
      <c r="BR47" s="233" t="str">
        <f>IF(OR(ROUND(SUM(BR38:BR46),3)=100%,SUM(BR38:BR46)=0),"","Section must sum to 100%")</f>
        <v/>
      </c>
      <c r="BS47" s="10"/>
      <c r="BT47" s="10"/>
      <c r="BU47" s="10"/>
      <c r="BV47" s="233" t="str">
        <f>IF(OR(ROUND(SUM(BV38:BV46),3)=100%,SUM(BV38:BV46)=0),"","Section must sum to 100%")</f>
        <v/>
      </c>
      <c r="BW47" s="10"/>
      <c r="BX47" s="10"/>
      <c r="BY47" s="10"/>
      <c r="BZ47" s="233" t="str">
        <f>IF(OR(ROUND(SUM(BZ38:BZ46),3)=100%,SUM(BZ38:BZ46)=0),"","Section must sum to 100%")</f>
        <v/>
      </c>
      <c r="CA47" s="10"/>
      <c r="CB47" s="10"/>
      <c r="CC47" s="10"/>
      <c r="CD47" s="233" t="str">
        <f>IF(OR(ROUND(SUM(CD38:CD46),3)=100%,SUM(CD38:CD46)=0),"","Section must sum to 100%")</f>
        <v/>
      </c>
      <c r="CE47" s="10"/>
      <c r="CF47" s="10"/>
      <c r="CG47" s="7"/>
    </row>
    <row r="48" spans="2:85" ht="17.100000000000001" customHeight="1" x14ac:dyDescent="0.2">
      <c r="B48" s="6"/>
      <c r="C48" s="290" t="s">
        <v>50</v>
      </c>
      <c r="D48" s="290"/>
      <c r="E48" s="164"/>
      <c r="F48" s="225"/>
      <c r="G48" s="164"/>
      <c r="H48" s="218"/>
      <c r="I48" s="149"/>
      <c r="J48" s="164"/>
      <c r="K48" s="164"/>
      <c r="L48" s="164"/>
      <c r="M48" s="149"/>
      <c r="N48" s="164"/>
      <c r="O48" s="164"/>
      <c r="P48" s="164"/>
      <c r="Q48" s="149"/>
      <c r="R48" s="164"/>
      <c r="S48" s="164"/>
      <c r="T48" s="164"/>
      <c r="U48" s="149"/>
      <c r="V48" s="164"/>
      <c r="W48" s="164"/>
      <c r="X48" s="164"/>
      <c r="Y48" s="149"/>
      <c r="Z48" s="164"/>
      <c r="AA48" s="164"/>
      <c r="AB48" s="164"/>
      <c r="AC48" s="149"/>
      <c r="AD48" s="164"/>
      <c r="AE48" s="164"/>
      <c r="AF48" s="164"/>
      <c r="AG48" s="149"/>
      <c r="AH48" s="164"/>
      <c r="AI48" s="164"/>
      <c r="AJ48" s="164"/>
      <c r="AK48" s="149"/>
      <c r="AL48" s="164"/>
      <c r="AM48" s="164"/>
      <c r="AN48" s="164"/>
      <c r="AO48" s="149"/>
      <c r="AP48" s="164"/>
      <c r="AQ48" s="164"/>
      <c r="AR48" s="164"/>
      <c r="AS48" s="149"/>
      <c r="AT48" s="164"/>
      <c r="AU48" s="164"/>
      <c r="AV48" s="164"/>
      <c r="AW48" s="149"/>
      <c r="AX48" s="164"/>
      <c r="AY48" s="164"/>
      <c r="AZ48" s="164"/>
      <c r="BA48" s="149"/>
      <c r="BB48" s="164"/>
      <c r="BC48" s="164"/>
      <c r="BD48" s="164"/>
      <c r="BE48" s="149"/>
      <c r="BF48" s="164"/>
      <c r="BG48" s="164"/>
      <c r="BH48" s="164"/>
      <c r="BI48" s="149"/>
      <c r="BJ48" s="164"/>
      <c r="BK48" s="164"/>
      <c r="BL48" s="164"/>
      <c r="BM48" s="149"/>
      <c r="BN48" s="164"/>
      <c r="BO48" s="164"/>
      <c r="BP48" s="164"/>
      <c r="BQ48" s="149"/>
      <c r="BR48" s="164"/>
      <c r="BS48" s="164"/>
      <c r="BT48" s="164"/>
      <c r="BU48" s="149"/>
      <c r="BV48" s="164"/>
      <c r="BW48" s="164"/>
      <c r="BX48" s="164"/>
      <c r="BY48" s="149"/>
      <c r="BZ48" s="164"/>
      <c r="CA48" s="164"/>
      <c r="CB48" s="164"/>
      <c r="CC48" s="149"/>
      <c r="CD48" s="164"/>
      <c r="CE48" s="164"/>
      <c r="CF48" s="164"/>
      <c r="CG48" s="7"/>
    </row>
    <row r="49" spans="2:85" ht="4.1500000000000004" customHeight="1" x14ac:dyDescent="0.2">
      <c r="B49" s="6"/>
      <c r="C49" s="10"/>
      <c r="D49" s="11"/>
      <c r="E49" s="11"/>
      <c r="F49" s="226"/>
      <c r="G49" s="11"/>
      <c r="H49" s="10"/>
      <c r="I49" s="11"/>
      <c r="J49" s="10"/>
      <c r="K49" s="11"/>
      <c r="L49" s="10"/>
      <c r="M49" s="11"/>
      <c r="N49" s="10"/>
      <c r="O49" s="11"/>
      <c r="P49" s="10"/>
      <c r="Q49" s="11"/>
      <c r="R49" s="10"/>
      <c r="S49" s="11"/>
      <c r="T49" s="10"/>
      <c r="U49" s="11"/>
      <c r="V49" s="10"/>
      <c r="W49" s="11"/>
      <c r="X49" s="10"/>
      <c r="Y49" s="11"/>
      <c r="Z49" s="10"/>
      <c r="AA49" s="11"/>
      <c r="AB49" s="10"/>
      <c r="AC49" s="11"/>
      <c r="AD49" s="10"/>
      <c r="AE49" s="11"/>
      <c r="AF49" s="10"/>
      <c r="AG49" s="11"/>
      <c r="AH49" s="10"/>
      <c r="AI49" s="11"/>
      <c r="AJ49" s="10"/>
      <c r="AK49" s="11"/>
      <c r="AL49" s="10"/>
      <c r="AM49" s="11"/>
      <c r="AN49" s="10"/>
      <c r="AO49" s="11"/>
      <c r="AP49" s="10"/>
      <c r="AQ49" s="11"/>
      <c r="AR49" s="10"/>
      <c r="AS49" s="11"/>
      <c r="AT49" s="10"/>
      <c r="AU49" s="11"/>
      <c r="AV49" s="10"/>
      <c r="AW49" s="11"/>
      <c r="AX49" s="10"/>
      <c r="AY49" s="11"/>
      <c r="AZ49" s="10"/>
      <c r="BA49" s="11"/>
      <c r="BB49" s="10"/>
      <c r="BC49" s="11"/>
      <c r="BD49" s="10"/>
      <c r="BE49" s="11"/>
      <c r="BF49" s="10"/>
      <c r="BG49" s="11"/>
      <c r="BH49" s="10"/>
      <c r="BI49" s="11"/>
      <c r="BJ49" s="10"/>
      <c r="BK49" s="11"/>
      <c r="BL49" s="10"/>
      <c r="BM49" s="11"/>
      <c r="BN49" s="10"/>
      <c r="BO49" s="11"/>
      <c r="BP49" s="10"/>
      <c r="BQ49" s="11"/>
      <c r="BR49" s="10"/>
      <c r="BS49" s="11"/>
      <c r="BT49" s="10"/>
      <c r="BU49" s="11"/>
      <c r="BV49" s="10"/>
      <c r="BW49" s="11"/>
      <c r="BX49" s="10"/>
      <c r="BY49" s="11"/>
      <c r="BZ49" s="10"/>
      <c r="CA49" s="11"/>
      <c r="CB49" s="10"/>
      <c r="CC49" s="11"/>
      <c r="CD49" s="10"/>
      <c r="CE49" s="11"/>
      <c r="CF49" s="10"/>
      <c r="CG49" s="7"/>
    </row>
    <row r="50" spans="2:85" ht="17.100000000000001" customHeight="1" x14ac:dyDescent="0.2">
      <c r="B50" s="6"/>
      <c r="C50" s="223" t="s">
        <v>32</v>
      </c>
      <c r="D50" s="219" t="s">
        <v>58</v>
      </c>
      <c r="E50" s="144"/>
      <c r="F50" s="155">
        <f>IFERROR(('Optional - input raw data'!F24-'Optional - input raw data'!F23)/'Optional - input raw data'!F24,Calcs!$A$75)</f>
        <v>-3.070657139096112E-2</v>
      </c>
      <c r="H50" s="159" t="str">
        <f>IF(OR(H$14="",H$15="",H$16="",H$17="",F50=""),"",
IF(F50&lt;=-0.05,High,
IF(AND(F50&gt;-0.05,F50&lt;0),Medium,
IF(F50&gt;=0,Low,""))))</f>
        <v>Medium risk</v>
      </c>
      <c r="I50" s="146"/>
      <c r="J50" s="155" t="str">
        <f>IFERROR(('Optional - input raw data'!H24-'Optional - input raw data'!H23)/'Optional - input raw data'!H24,Calcs!$A$75)</f>
        <v/>
      </c>
      <c r="L50" s="159" t="str">
        <f>IF(OR(L$14="",L$15="",L$16="",L$17="",J50=""),"",
IF(J50&lt;=-0.05,High,
IF(AND(J50&gt;-0.05,J50&lt;0),Medium,
IF(J50&gt;=0,Low,""))))</f>
        <v/>
      </c>
      <c r="M50" s="146"/>
      <c r="N50" s="155" t="str">
        <f>IFERROR(('Optional - input raw data'!J24-'Optional - input raw data'!J23)/'Optional - input raw data'!J24,Calcs!$A$75)</f>
        <v/>
      </c>
      <c r="P50" s="159" t="str">
        <f>IF(OR(P$14="",P$15="",P$16="",P$17="",N50=""),"",
IF(N50&lt;=-0.05,High,
IF(AND(N50&gt;-0.05,N50&lt;0),Medium,
IF(N50&gt;=0,Low,""))))</f>
        <v/>
      </c>
      <c r="Q50" s="146"/>
      <c r="R50" s="155" t="str">
        <f>IFERROR(('Optional - input raw data'!L24-'Optional - input raw data'!L23)/'Optional - input raw data'!L24,Calcs!$A$75)</f>
        <v/>
      </c>
      <c r="T50" s="159" t="str">
        <f>IF(OR(T$14="",T$15="",T$16="",T$17="",R50=""),"",
IF(R50&lt;=-0.05,High,
IF(AND(R50&gt;-0.05,R50&lt;0),Medium,
IF(R50&gt;=0,Low,""))))</f>
        <v/>
      </c>
      <c r="U50" s="146"/>
      <c r="V50" s="155" t="str">
        <f>IFERROR(('Optional - input raw data'!N24-'Optional - input raw data'!N23)/'Optional - input raw data'!N24,"")</f>
        <v/>
      </c>
      <c r="X50" s="159" t="str">
        <f>IF(OR(X$14="",X$15="",X$16="",X$17="",V50=""),"",
IF(V50&lt;=-0.05,High,
IF(AND(V50&gt;-0.05,V50&lt;0),Medium,
IF(V50&gt;=0,Low,""))))</f>
        <v/>
      </c>
      <c r="Y50" s="146"/>
      <c r="Z50" s="155" t="str">
        <f>IFERROR(('Optional - input raw data'!P24-'Optional - input raw data'!P23)/'Optional - input raw data'!P24,"")</f>
        <v/>
      </c>
      <c r="AB50" s="159" t="str">
        <f>IF(OR(AB$14="",AB$15="",AB$16="",AB$17="",Z50=""),"",
IF(Z50&lt;=-0.05,High,
IF(AND(Z50&gt;-0.05,Z50&lt;0),Medium,
IF(Z50&gt;=0,Low,""))))</f>
        <v/>
      </c>
      <c r="AC50" s="146"/>
      <c r="AD50" s="155" t="str">
        <f>IFERROR(('Optional - input raw data'!R24-'Optional - input raw data'!R23)/'Optional - input raw data'!R24,"")</f>
        <v/>
      </c>
      <c r="AF50" s="159" t="str">
        <f>IF(OR(AF$14="",AF$15="",AF$16="",AF$17="",AD50=""),"",
IF(AD50&lt;=-0.05,High,
IF(AND(AD50&gt;-0.05,AD50&lt;0),Medium,
IF(AD50&gt;=0,Low,""))))</f>
        <v/>
      </c>
      <c r="AG50" s="146"/>
      <c r="AH50" s="155" t="str">
        <f>IFERROR(('Optional - input raw data'!T24-'Optional - input raw data'!T23)/'Optional - input raw data'!T24,"")</f>
        <v/>
      </c>
      <c r="AJ50" s="159" t="str">
        <f>IF(OR(AJ$14="",AJ$15="",AJ$16="",AJ$17="",AH50=""),"",
IF(AH50&lt;=-0.05,High,
IF(AND(AH50&gt;-0.05,AH50&lt;0),Medium,
IF(AH50&gt;=0,Low,""))))</f>
        <v/>
      </c>
      <c r="AK50" s="146"/>
      <c r="AL50" s="155" t="str">
        <f>IFERROR(('Optional - input raw data'!V24-'Optional - input raw data'!V23)/'Optional - input raw data'!V24,"")</f>
        <v/>
      </c>
      <c r="AN50" s="159" t="str">
        <f>IF(OR(AN$14="",AN$15="",AN$16="",AN$17="",AL50=""),"",
IF(AL50&lt;=-0.05,High,
IF(AND(AL50&gt;-0.05,AL50&lt;0),Medium,
IF(AL50&gt;=0,Low,""))))</f>
        <v/>
      </c>
      <c r="AO50" s="146"/>
      <c r="AP50" s="155" t="str">
        <f>IFERROR(('Optional - input raw data'!X24-'Optional - input raw data'!X23)/'Optional - input raw data'!X24,"")</f>
        <v/>
      </c>
      <c r="AR50" s="159" t="str">
        <f>IF(OR(AR$14="",AR$15="",AR$16="",AR$17="",AP50=""),"",
IF(AP50&lt;=-0.05,High,
IF(AND(AP50&gt;-0.05,AP50&lt;0),Medium,
IF(AP50&gt;=0,Low,""))))</f>
        <v/>
      </c>
      <c r="AS50" s="146"/>
      <c r="AT50" s="155" t="str">
        <f>IFERROR(('Optional - input raw data'!Z24-'Optional - input raw data'!Z23)/'Optional - input raw data'!Z24,"")</f>
        <v/>
      </c>
      <c r="AV50" s="159" t="str">
        <f>IF(OR(AV$14="",AV$15="",AV$16="",AV$17="",AT50=""),"",
IF(AT50&lt;=-0.05,High,
IF(AND(AT50&gt;-0.05,AT50&lt;0),Medium,
IF(AT50&gt;=0,Low,""))))</f>
        <v/>
      </c>
      <c r="AW50" s="146"/>
      <c r="AX50" s="155" t="str">
        <f>IFERROR(('Optional - input raw data'!AB24-'Optional - input raw data'!AB23)/'Optional - input raw data'!AB24,"")</f>
        <v/>
      </c>
      <c r="AZ50" s="159" t="str">
        <f>IF(OR(AZ$14="",AZ$15="",AZ$16="",AZ$17="",AX50=""),"",
IF(AX50&lt;=-0.05,High,
IF(AND(AX50&gt;-0.05,AX50&lt;0),Medium,
IF(AX50&gt;=0,Low,""))))</f>
        <v/>
      </c>
      <c r="BA50" s="146"/>
      <c r="BB50" s="155" t="str">
        <f>IFERROR(('Optional - input raw data'!AD24-'Optional - input raw data'!AD23)/'Optional - input raw data'!AD24,"")</f>
        <v/>
      </c>
      <c r="BD50" s="159" t="str">
        <f>IF(OR(BD$14="",BD$15="",BD$16="",BD$17="",BB50=""),"",
IF(BB50&lt;=-0.05,High,
IF(AND(BB50&gt;-0.05,BB50&lt;0),Medium,
IF(BB50&gt;=0,Low,""))))</f>
        <v/>
      </c>
      <c r="BE50" s="146"/>
      <c r="BF50" s="155" t="str">
        <f>IFERROR(('Optional - input raw data'!AF24-'Optional - input raw data'!AF23)/'Optional - input raw data'!AF24,"")</f>
        <v/>
      </c>
      <c r="BH50" s="159" t="str">
        <f>IF(OR(BH$14="",BH$15="",BH$16="",BH$17="",BF50=""),"",
IF(BF50&lt;=-0.05,High,
IF(AND(BF50&gt;-0.05,BF50&lt;0),Medium,
IF(BF50&gt;=0,Low,""))))</f>
        <v/>
      </c>
      <c r="BI50" s="146"/>
      <c r="BJ50" s="155" t="str">
        <f>IFERROR(('Optional - input raw data'!AH24-'Optional - input raw data'!AH23)/'Optional - input raw data'!AH24,"")</f>
        <v/>
      </c>
      <c r="BL50" s="159" t="str">
        <f>IF(OR(BL$14="",BL$15="",BL$16="",BL$17="",BJ50=""),"",
IF(BJ50&lt;=-0.05,High,
IF(AND(BJ50&gt;-0.05,BJ50&lt;0),Medium,
IF(BJ50&gt;=0,Low,""))))</f>
        <v/>
      </c>
      <c r="BM50" s="146"/>
      <c r="BN50" s="155" t="str">
        <f>IFERROR(('Optional - input raw data'!AJ24-'Optional - input raw data'!AJ23)/'Optional - input raw data'!AJ24,"")</f>
        <v/>
      </c>
      <c r="BP50" s="159" t="str">
        <f>IF(OR(BP$14="",BP$15="",BP$16="",BP$17="",BN50=""),"",
IF(BN50&lt;=-0.05,High,
IF(AND(BN50&gt;-0.05,BN50&lt;0),Medium,
IF(BN50&gt;=0,Low,""))))</f>
        <v/>
      </c>
      <c r="BQ50" s="146"/>
      <c r="BR50" s="155" t="str">
        <f>IFERROR(('Optional - input raw data'!AL24-'Optional - input raw data'!AL23)/'Optional - input raw data'!AL24,"")</f>
        <v/>
      </c>
      <c r="BT50" s="159" t="str">
        <f>IF(OR(BT$14="",BT$15="",BT$16="",BT$17="",BR50=""),"",
IF(BR50&lt;=-0.05,High,
IF(AND(BR50&gt;-0.05,BR50&lt;0),Medium,
IF(BR50&gt;=0,Low,""))))</f>
        <v/>
      </c>
      <c r="BU50" s="146"/>
      <c r="BV50" s="155" t="str">
        <f>IFERROR(('Optional - input raw data'!AN24-'Optional - input raw data'!AN23)/'Optional - input raw data'!AN24,"")</f>
        <v/>
      </c>
      <c r="BX50" s="159" t="str">
        <f>IF(OR(BX$14="",BX$15="",BX$16="",BX$17="",BV50=""),"",
IF(BV50&lt;=-0.05,High,
IF(AND(BV50&gt;-0.05,BV50&lt;0),Medium,
IF(BV50&gt;=0,Low,""))))</f>
        <v/>
      </c>
      <c r="BY50" s="146"/>
      <c r="BZ50" s="155" t="str">
        <f>IFERROR(('Optional - input raw data'!AP24-'Optional - input raw data'!AP23)/'Optional - input raw data'!AP24,"")</f>
        <v/>
      </c>
      <c r="CB50" s="159" t="str">
        <f>IF(OR(CB$14="",CB$15="",CB$16="",CB$17="",BZ50=""),"",
IF(BZ50&lt;=-0.05,High,
IF(AND(BZ50&gt;-0.05,BZ50&lt;0),Medium,
IF(BZ50&gt;=0,Low,""))))</f>
        <v/>
      </c>
      <c r="CC50" s="146"/>
      <c r="CD50" s="155" t="str">
        <f>IFERROR(('Optional - input raw data'!AR24-'Optional - input raw data'!AR23)/'Optional - input raw data'!AR24,Calcs!$A$75)</f>
        <v/>
      </c>
      <c r="CF50" s="159" t="str">
        <f>IF(OR(CF$14="",CF$15="",CF$16="",CF$17="",CD50=""),"",
IF(CD50&lt;=-0.05,High,
IF(AND(CD50&gt;-0.05,CD50&lt;0),Medium,
IF(CD50&gt;=0,Low,""))))</f>
        <v/>
      </c>
      <c r="CG50" s="7"/>
    </row>
    <row r="51" spans="2:85" ht="17.100000000000001" customHeight="1" x14ac:dyDescent="0.2">
      <c r="B51" s="6"/>
      <c r="C51" s="223" t="s">
        <v>56</v>
      </c>
      <c r="D51" s="219" t="s">
        <v>58</v>
      </c>
      <c r="E51" s="144"/>
      <c r="F51" s="155">
        <f>IFERROR('Optional - input raw data'!F25/'Optional - input raw data'!F24,Calcs!$A$75)</f>
        <v>4.6254504465943445E-2</v>
      </c>
      <c r="H51" s="159" t="str">
        <f>IF(OR(H$14="",H$15="",H$16="",H$17="",F51=""),"",
IF(F51&lt;=-0.05,High,
IF(AND(F51&gt;-0.05,F51&lt;0),Medium,
IF(F51&gt;=0,Low,""))))</f>
        <v>Low risk</v>
      </c>
      <c r="I51" s="146"/>
      <c r="J51" s="155" t="str">
        <f>IFERROR('Optional - input raw data'!H25/'Optional - input raw data'!H24,Calcs!$A$75)</f>
        <v/>
      </c>
      <c r="L51" s="159" t="str">
        <f>IF(OR(L$14="",L$15="",L$16="",L$17="",J51=""),"",
IF(J51&lt;=-0.05,High,
IF(AND(J51&gt;-0.05,J51&lt;0),Medium,
IF(J51&gt;=0,Low,""))))</f>
        <v/>
      </c>
      <c r="M51" s="146"/>
      <c r="N51" s="155" t="str">
        <f>IFERROR('Optional - input raw data'!J25/'Optional - input raw data'!J24,Calcs!$A$75)</f>
        <v/>
      </c>
      <c r="P51" s="159" t="str">
        <f>IF(OR(P$14="",P$15="",P$16="",P$17="",N51=""),"",
IF(N51&lt;=-0.05,High,
IF(AND(N51&gt;-0.05,N51&lt;0),Medium,
IF(N51&gt;=0,Low,""))))</f>
        <v/>
      </c>
      <c r="Q51" s="146"/>
      <c r="R51" s="155" t="str">
        <f>IFERROR('Optional - input raw data'!L25/'Optional - input raw data'!L24,Calcs!$A$75)</f>
        <v/>
      </c>
      <c r="T51" s="159" t="str">
        <f>IF(OR(T$14="",T$15="",T$16="",T$17="",R51=""),"",
IF(R51&lt;=-0.05,High,
IF(AND(R51&gt;-0.05,R51&lt;0),Medium,
IF(R51&gt;=0,Low,""))))</f>
        <v/>
      </c>
      <c r="U51" s="146"/>
      <c r="V51" s="155" t="str">
        <f>IFERROR('Optional - input raw data'!N25/'Optional - input raw data'!N24,"")</f>
        <v/>
      </c>
      <c r="X51" s="159" t="str">
        <f>IF(OR(X$14="",X$15="",X$16="",X$17="",V51=""),"",
IF(V51&lt;=-0.05,High,
IF(AND(V51&gt;-0.05,V51&lt;0),Medium,
IF(V51&gt;=0,Low,""))))</f>
        <v/>
      </c>
      <c r="Y51" s="146"/>
      <c r="Z51" s="155" t="str">
        <f>IFERROR('Optional - input raw data'!P25/'Optional - input raw data'!P24,"")</f>
        <v/>
      </c>
      <c r="AB51" s="159" t="str">
        <f>IF(OR(AB$14="",AB$15="",AB$16="",AB$17="",Z51=""),"",
IF(Z51&lt;=-0.05,High,
IF(AND(Z51&gt;-0.05,Z51&lt;0),Medium,
IF(Z51&gt;=0,Low,""))))</f>
        <v/>
      </c>
      <c r="AC51" s="146"/>
      <c r="AD51" s="155" t="str">
        <f>IFERROR('Optional - input raw data'!R25/'Optional - input raw data'!R24,"")</f>
        <v/>
      </c>
      <c r="AF51" s="159" t="str">
        <f>IF(OR(AF$14="",AF$15="",AF$16="",AF$17="",AD51=""),"",
IF(AD51&lt;=-0.05,High,
IF(AND(AD51&gt;-0.05,AD51&lt;0),Medium,
IF(AD51&gt;=0,Low,""))))</f>
        <v/>
      </c>
      <c r="AG51" s="146"/>
      <c r="AH51" s="155" t="str">
        <f>IFERROR('Optional - input raw data'!T25/'Optional - input raw data'!T24,"")</f>
        <v/>
      </c>
      <c r="AJ51" s="159" t="str">
        <f>IF(OR(AJ$14="",AJ$15="",AJ$16="",AJ$17="",AH51=""),"",
IF(AH51&lt;=-0.05,High,
IF(AND(AH51&gt;-0.05,AH51&lt;0),Medium,
IF(AH51&gt;=0,Low,""))))</f>
        <v/>
      </c>
      <c r="AK51" s="146"/>
      <c r="AL51" s="155" t="str">
        <f>IFERROR('Optional - input raw data'!V25/'Optional - input raw data'!V24,"")</f>
        <v/>
      </c>
      <c r="AN51" s="159" t="str">
        <f>IF(OR(AN$14="",AN$15="",AN$16="",AN$17="",AL51=""),"",
IF(AL51&lt;=-0.05,High,
IF(AND(AL51&gt;-0.05,AL51&lt;0),Medium,
IF(AL51&gt;=0,Low,""))))</f>
        <v/>
      </c>
      <c r="AO51" s="146"/>
      <c r="AP51" s="155" t="str">
        <f>IFERROR('Optional - input raw data'!X25/'Optional - input raw data'!X24,"")</f>
        <v/>
      </c>
      <c r="AR51" s="159" t="str">
        <f>IF(OR(AR$14="",AR$15="",AR$16="",AR$17="",AP51=""),"",
IF(AP51&lt;=-0.05,High,
IF(AND(AP51&gt;-0.05,AP51&lt;0),Medium,
IF(AP51&gt;=0,Low,""))))</f>
        <v/>
      </c>
      <c r="AS51" s="146"/>
      <c r="AT51" s="155" t="str">
        <f>IFERROR('Optional - input raw data'!Z25/'Optional - input raw data'!Z24,"")</f>
        <v/>
      </c>
      <c r="AV51" s="159" t="str">
        <f>IF(OR(AV$14="",AV$15="",AV$16="",AV$17="",AT51=""),"",
IF(AT51&lt;=-0.05,High,
IF(AND(AT51&gt;-0.05,AT51&lt;0),Medium,
IF(AT51&gt;=0,Low,""))))</f>
        <v/>
      </c>
      <c r="AW51" s="146"/>
      <c r="AX51" s="155" t="str">
        <f>IFERROR('Optional - input raw data'!AB25/'Optional - input raw data'!AB24,"")</f>
        <v/>
      </c>
      <c r="AZ51" s="159" t="str">
        <f>IF(OR(AZ$14="",AZ$15="",AZ$16="",AZ$17="",AX51=""),"",
IF(AX51&lt;=-0.05,High,
IF(AND(AX51&gt;-0.05,AX51&lt;0),Medium,
IF(AX51&gt;=0,Low,""))))</f>
        <v/>
      </c>
      <c r="BA51" s="146"/>
      <c r="BB51" s="155" t="str">
        <f>IFERROR('Optional - input raw data'!AD25/'Optional - input raw data'!AD24,"")</f>
        <v/>
      </c>
      <c r="BD51" s="159" t="str">
        <f>IF(OR(BD$14="",BD$15="",BD$16="",BD$17="",BB51=""),"",
IF(BB51&lt;=-0.05,High,
IF(AND(BB51&gt;-0.05,BB51&lt;0),Medium,
IF(BB51&gt;=0,Low,""))))</f>
        <v/>
      </c>
      <c r="BE51" s="146"/>
      <c r="BF51" s="155" t="str">
        <f>IFERROR('Optional - input raw data'!AF25/'Optional - input raw data'!AF24,"")</f>
        <v/>
      </c>
      <c r="BH51" s="159" t="str">
        <f>IF(OR(BH$14="",BH$15="",BH$16="",BH$17="",BF51=""),"",
IF(BF51&lt;=-0.05,High,
IF(AND(BF51&gt;-0.05,BF51&lt;0),Medium,
IF(BF51&gt;=0,Low,""))))</f>
        <v/>
      </c>
      <c r="BI51" s="146"/>
      <c r="BJ51" s="155" t="str">
        <f>IFERROR('Optional - input raw data'!AH25/'Optional - input raw data'!AH24,"")</f>
        <v/>
      </c>
      <c r="BL51" s="159" t="str">
        <f>IF(OR(BL$14="",BL$15="",BL$16="",BL$17="",BJ51=""),"",
IF(BJ51&lt;=-0.05,High,
IF(AND(BJ51&gt;-0.05,BJ51&lt;0),Medium,
IF(BJ51&gt;=0,Low,""))))</f>
        <v/>
      </c>
      <c r="BM51" s="146"/>
      <c r="BN51" s="155" t="str">
        <f>IFERROR('Optional - input raw data'!AJ25/'Optional - input raw data'!AJ24,"")</f>
        <v/>
      </c>
      <c r="BP51" s="159" t="str">
        <f>IF(OR(BP$14="",BP$15="",BP$16="",BP$17="",BN51=""),"",
IF(BN51&lt;=-0.05,High,
IF(AND(BN51&gt;-0.05,BN51&lt;0),Medium,
IF(BN51&gt;=0,Low,""))))</f>
        <v/>
      </c>
      <c r="BQ51" s="146"/>
      <c r="BR51" s="155" t="str">
        <f>IFERROR('Optional - input raw data'!AL25/'Optional - input raw data'!AL24,"")</f>
        <v/>
      </c>
      <c r="BT51" s="159" t="str">
        <f>IF(OR(BT$14="",BT$15="",BT$16="",BT$17="",BR51=""),"",
IF(BR51&lt;=-0.05,High,
IF(AND(BR51&gt;-0.05,BR51&lt;0),Medium,
IF(BR51&gt;=0,Low,""))))</f>
        <v/>
      </c>
      <c r="BU51" s="146"/>
      <c r="BV51" s="155" t="str">
        <f>IFERROR('Optional - input raw data'!AN25/'Optional - input raw data'!AN24,"")</f>
        <v/>
      </c>
      <c r="BX51" s="159" t="str">
        <f>IF(OR(BX$14="",BX$15="",BX$16="",BX$17="",BV51=""),"",
IF(BV51&lt;=-0.05,High,
IF(AND(BV51&gt;-0.05,BV51&lt;0),Medium,
IF(BV51&gt;=0,Low,""))))</f>
        <v/>
      </c>
      <c r="BY51" s="146"/>
      <c r="BZ51" s="155" t="str">
        <f>IFERROR('Optional - input raw data'!AP25/'Optional - input raw data'!AP24,"")</f>
        <v/>
      </c>
      <c r="CB51" s="159" t="str">
        <f>IF(OR(CB$14="",CB$15="",CB$16="",CB$17="",BZ51=""),"",
IF(BZ51&lt;=-0.05,High,
IF(AND(BZ51&gt;-0.05,BZ51&lt;0),Medium,
IF(BZ51&gt;=0,Low,""))))</f>
        <v/>
      </c>
      <c r="CC51" s="146"/>
      <c r="CD51" s="155" t="str">
        <f>IFERROR('Optional - input raw data'!AR25/'Optional - input raw data'!AR24,Calcs!$A$75)</f>
        <v/>
      </c>
      <c r="CF51" s="159" t="str">
        <f>IF(OR(CF$14="",CF$15="",CF$16="",CF$17="",CD51=""),"",
IF(CD51&lt;=-0.05,High,
IF(AND(CD51&gt;-0.05,CD51&lt;0),Medium,
IF(CD51&gt;=0,Low,""))))</f>
        <v/>
      </c>
      <c r="CG51" s="7"/>
    </row>
    <row r="52" spans="2:85" ht="15" x14ac:dyDescent="0.2">
      <c r="B52" s="6"/>
      <c r="C52" s="10"/>
      <c r="D52" s="10"/>
      <c r="E52" s="10"/>
      <c r="F52" s="226"/>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7"/>
    </row>
    <row r="53" spans="2:85" ht="17.100000000000001" customHeight="1" x14ac:dyDescent="0.2">
      <c r="B53" s="6"/>
      <c r="C53" s="290" t="s">
        <v>51</v>
      </c>
      <c r="D53" s="290"/>
      <c r="E53" s="164"/>
      <c r="F53" s="225"/>
      <c r="G53" s="164"/>
      <c r="H53" s="218"/>
      <c r="I53" s="149"/>
      <c r="J53" s="164"/>
      <c r="K53" s="164"/>
      <c r="L53" s="164"/>
      <c r="M53" s="149"/>
      <c r="N53" s="164"/>
      <c r="O53" s="164"/>
      <c r="P53" s="164"/>
      <c r="Q53" s="149"/>
      <c r="R53" s="164"/>
      <c r="S53" s="164"/>
      <c r="T53" s="164"/>
      <c r="U53" s="149"/>
      <c r="V53" s="164"/>
      <c r="W53" s="164"/>
      <c r="X53" s="164"/>
      <c r="Y53" s="149"/>
      <c r="Z53" s="164"/>
      <c r="AA53" s="164"/>
      <c r="AB53" s="164"/>
      <c r="AC53" s="149"/>
      <c r="AD53" s="164"/>
      <c r="AE53" s="164"/>
      <c r="AF53" s="164"/>
      <c r="AG53" s="149"/>
      <c r="AH53" s="164"/>
      <c r="AI53" s="164"/>
      <c r="AJ53" s="164"/>
      <c r="AK53" s="149"/>
      <c r="AL53" s="164"/>
      <c r="AM53" s="164"/>
      <c r="AN53" s="164"/>
      <c r="AO53" s="149"/>
      <c r="AP53" s="164"/>
      <c r="AQ53" s="164"/>
      <c r="AR53" s="164"/>
      <c r="AS53" s="149"/>
      <c r="AT53" s="164"/>
      <c r="AU53" s="164"/>
      <c r="AV53" s="164"/>
      <c r="AW53" s="149"/>
      <c r="AX53" s="164"/>
      <c r="AY53" s="164"/>
      <c r="AZ53" s="164"/>
      <c r="BA53" s="149"/>
      <c r="BB53" s="164"/>
      <c r="BC53" s="164"/>
      <c r="BD53" s="164"/>
      <c r="BE53" s="149"/>
      <c r="BF53" s="164"/>
      <c r="BG53" s="164"/>
      <c r="BH53" s="164"/>
      <c r="BI53" s="149"/>
      <c r="BJ53" s="164"/>
      <c r="BK53" s="164"/>
      <c r="BL53" s="164"/>
      <c r="BM53" s="149"/>
      <c r="BN53" s="164"/>
      <c r="BO53" s="164"/>
      <c r="BP53" s="164"/>
      <c r="BQ53" s="149"/>
      <c r="BR53" s="164"/>
      <c r="BS53" s="164"/>
      <c r="BT53" s="164"/>
      <c r="BU53" s="149"/>
      <c r="BV53" s="164"/>
      <c r="BW53" s="164"/>
      <c r="BX53" s="164"/>
      <c r="BY53" s="149"/>
      <c r="BZ53" s="164"/>
      <c r="CA53" s="164"/>
      <c r="CB53" s="164"/>
      <c r="CC53" s="149"/>
      <c r="CD53" s="164"/>
      <c r="CE53" s="164"/>
      <c r="CF53" s="164"/>
      <c r="CG53" s="7"/>
    </row>
    <row r="54" spans="2:85" ht="3.75" customHeight="1" x14ac:dyDescent="0.2">
      <c r="B54" s="6"/>
      <c r="C54" s="10"/>
      <c r="D54" s="11"/>
      <c r="E54" s="11"/>
      <c r="F54" s="226"/>
      <c r="G54" s="11"/>
      <c r="H54" s="10"/>
      <c r="I54" s="11"/>
      <c r="J54" s="10"/>
      <c r="K54" s="11"/>
      <c r="L54" s="10"/>
      <c r="M54" s="11"/>
      <c r="N54" s="10"/>
      <c r="O54" s="11"/>
      <c r="P54" s="10"/>
      <c r="Q54" s="11"/>
      <c r="R54" s="10"/>
      <c r="S54" s="11"/>
      <c r="T54" s="10"/>
      <c r="U54" s="11"/>
      <c r="V54" s="10"/>
      <c r="W54" s="11"/>
      <c r="X54" s="10"/>
      <c r="Y54" s="11"/>
      <c r="Z54" s="10"/>
      <c r="AA54" s="11"/>
      <c r="AB54" s="10"/>
      <c r="AC54" s="11"/>
      <c r="AD54" s="10"/>
      <c r="AE54" s="11"/>
      <c r="AF54" s="10"/>
      <c r="AG54" s="11"/>
      <c r="AH54" s="10"/>
      <c r="AI54" s="11"/>
      <c r="AJ54" s="10"/>
      <c r="AK54" s="11"/>
      <c r="AL54" s="10"/>
      <c r="AM54" s="11"/>
      <c r="AN54" s="10"/>
      <c r="AO54" s="11"/>
      <c r="AP54" s="10"/>
      <c r="AQ54" s="11"/>
      <c r="AR54" s="10"/>
      <c r="AS54" s="11"/>
      <c r="AT54" s="10"/>
      <c r="AU54" s="11"/>
      <c r="AV54" s="10"/>
      <c r="AW54" s="11"/>
      <c r="AX54" s="10"/>
      <c r="AY54" s="11"/>
      <c r="AZ54" s="10"/>
      <c r="BA54" s="11"/>
      <c r="BB54" s="10"/>
      <c r="BC54" s="11"/>
      <c r="BD54" s="10"/>
      <c r="BE54" s="11"/>
      <c r="BF54" s="10"/>
      <c r="BG54" s="11"/>
      <c r="BH54" s="10"/>
      <c r="BI54" s="11"/>
      <c r="BJ54" s="10"/>
      <c r="BK54" s="11"/>
      <c r="BL54" s="10"/>
      <c r="BM54" s="11"/>
      <c r="BN54" s="10"/>
      <c r="BO54" s="11"/>
      <c r="BP54" s="10"/>
      <c r="BQ54" s="11"/>
      <c r="BR54" s="10"/>
      <c r="BS54" s="11"/>
      <c r="BT54" s="10"/>
      <c r="BU54" s="11"/>
      <c r="BV54" s="10"/>
      <c r="BW54" s="11"/>
      <c r="BX54" s="10"/>
      <c r="BY54" s="11"/>
      <c r="BZ54" s="10"/>
      <c r="CA54" s="11"/>
      <c r="CB54" s="10"/>
      <c r="CC54" s="11"/>
      <c r="CD54" s="10"/>
      <c r="CE54" s="11"/>
      <c r="CF54" s="10"/>
      <c r="CG54" s="7"/>
    </row>
    <row r="55" spans="2:85" ht="17.100000000000001" customHeight="1" x14ac:dyDescent="0.2">
      <c r="B55" s="6"/>
      <c r="C55" s="223" t="s">
        <v>33</v>
      </c>
      <c r="D55" s="219" t="s">
        <v>58</v>
      </c>
      <c r="E55" s="49"/>
      <c r="F55" s="156">
        <f>IFERROR('Optional - input raw data'!F34/'Optional - input raw data'!F19,Calcs!$A$75)</f>
        <v>59691.45042338159</v>
      </c>
      <c r="H55" s="159" t="str">
        <f ca="1">IF(OR(H$14="",H$15="",H$16="",H$17="",F55=""),"",
IF(F55&lt;=Calcs!C21,Lowest10,
IF(AND(F55&gt;Calcs!C21,F55&lt;=Calcs!D21),Lowest20,
IF(AND(F55&gt;Calcs!D21,F55&lt;=Calcs!E21),Inline,
IF(AND(F55&gt;Calcs!E21,F55&lt;=Calcs!G21),Middle20,
IF(AND(F55&gt;Calcs!G21,F55&lt;=Calcs!H21),Inline,
IF(AND(F55&gt;Calcs!H21,F55&lt;=Calcs!I21),Highest20,
IF(F55&gt;Calcs!I21,Highest10,""))))))))</f>
        <v>Broadly in line with similar schools</v>
      </c>
      <c r="I55" s="49"/>
      <c r="J55" s="156" t="str">
        <f>IFERROR('Optional - input raw data'!H34/'Optional - input raw data'!H19,Calcs!$A$75)</f>
        <v/>
      </c>
      <c r="L55" s="159" t="str">
        <f>IF(OR(L$14="",L$15="",L$16="",L$17="",J55=""),"",
IF(J55&lt;=Calcs!K21,Lowest10,
IF(AND(J55&gt;Calcs!K21,J55&lt;=Calcs!L21),Lowest20,
IF(AND(J55&gt;Calcs!L21,J55&lt;=Calcs!M21),Inline,
IF(AND(J55&gt;Calcs!M21,J55&lt;=Calcs!O21),Middle20,
IF(AND(J55&gt;Calcs!O21,J55&lt;=Calcs!P21),Inline,
IF(AND(J55&gt;Calcs!P21,J55&lt;=Calcs!Q21),Highest20,
IF(J55&gt;Calcs!Q21,Highest10,""))))))))</f>
        <v/>
      </c>
      <c r="M55" s="49"/>
      <c r="N55" s="156" t="str">
        <f>IFERROR('Optional - input raw data'!J34/'Optional - input raw data'!J19,Calcs!$A$75)</f>
        <v/>
      </c>
      <c r="P55" s="159" t="str">
        <f>IF(OR(P$14="",P$15="",P$16="",P$17="",N55=""),"",
IF(N55&lt;=Calcs!S21,Lowest10,
IF(AND(N55&gt;Calcs!S21,N55&lt;=Calcs!T21),Lowest20,
IF(AND(N55&gt;Calcs!T21,N55&lt;=Calcs!U21),Inline,
IF(AND(N55&gt;Calcs!U21,N55&lt;=Calcs!W21),Middle20,
IF(AND(N55&gt;Calcs!W21,N55&lt;=Calcs!X21),Inline,
IF(AND(N55&gt;Calcs!X21,N55&lt;=Calcs!Y21),Highest20,
IF(N55&gt;Calcs!Y21,Highest10,""))))))))</f>
        <v/>
      </c>
      <c r="Q55" s="49"/>
      <c r="R55" s="156" t="str">
        <f>IFERROR('Optional - input raw data'!L34/'Optional - input raw data'!L19,Calcs!$A$75)</f>
        <v/>
      </c>
      <c r="T55" s="159" t="str">
        <f>IF(OR(T$14="",T$15="",T$16="",T$17="",R55=""),"",
IF(R55&lt;=Calcs!AA21,Lowest10,
IF(AND(R55&gt;Calcs!AA21,R55&lt;=Calcs!AB21),Lowest20,
IF(AND(R55&gt;Calcs!AB21,R55&lt;=Calcs!AC21),Inline,
IF(AND(R55&gt;Calcs!AC21,R55&lt;=Calcs!AE21),Middle20,
IF(AND(R55&gt;Calcs!AE21,R55&lt;=Calcs!AF21),Inline,
IF(AND(R55&gt;Calcs!AF21,R55&lt;=Calcs!AG21),Highest20,
IF(R55&gt;Calcs!AG21,Highest10,""))))))))</f>
        <v/>
      </c>
      <c r="U55" s="49"/>
      <c r="V55" s="156" t="str">
        <f>IFERROR('Optional - input raw data'!N34/'Optional - input raw data'!N19,"")</f>
        <v/>
      </c>
      <c r="X55" s="159" t="str">
        <f>IF(OR(X$14="",X$15="",X$16="",X$17="",V55=""),"",
IF(V55&lt;=Calcs!AI21,Lowest10,
IF(AND(V55&gt;Calcs!AI21,V55&lt;=Calcs!AJ21),Lowest20,
IF(AND(V55&gt;Calcs!AJ21,V55&lt;=Calcs!AK21),Inline,
IF(AND(V55&gt;Calcs!AK21,V55&lt;=Calcs!AM21),Middle20,
IF(AND(V55&gt;Calcs!AM21,V55&lt;=Calcs!AN21),Inline,
IF(AND(V55&gt;Calcs!AN21,V55&lt;=Calcs!AO21),Highest20,
IF(V55&gt;Calcs!AO21,Highest10,""))))))))</f>
        <v/>
      </c>
      <c r="Y55" s="49"/>
      <c r="Z55" s="156" t="str">
        <f>IFERROR('Optional - input raw data'!P34/'Optional - input raw data'!P19,"")</f>
        <v/>
      </c>
      <c r="AB55" s="159" t="str">
        <f>IF(OR(AB$14="",AB$15="",AB$16="",AB$17="",Z55=""),"",
IF(Z55&lt;=Calcs!AQ21,Lowest10,
IF(AND(Z55&gt;Calcs!AQ21,Z55&lt;=Calcs!AR21),Lowest20,
IF(AND(Z55&gt;Calcs!AR21,Z55&lt;=Calcs!AS21),Inline,
IF(AND(Z55&gt;Calcs!AS21,Z55&lt;=Calcs!AU21),Middle20,
IF(AND(Z55&gt;Calcs!AU21,Z55&lt;=Calcs!AV21),Inline,
IF(AND(Z55&gt;Calcs!AV21,Z55&lt;=Calcs!AW21),Highest20,
IF(Z55&gt;Calcs!AW21,Highest10,""))))))))</f>
        <v/>
      </c>
      <c r="AC55" s="49"/>
      <c r="AD55" s="156" t="str">
        <f>IFERROR('Optional - input raw data'!R34/'Optional - input raw data'!R19,"")</f>
        <v/>
      </c>
      <c r="AF55" s="159" t="str">
        <f>IF(OR(AF$14="",AF$15="",AF$16="",AF$17="",AD55=""),"",
IF(AD55&lt;=Calcs!AY21,Lowest10,
IF(AND(AD55&gt;Calcs!AY21,AD55&lt;=Calcs!AZ21),Lowest20,
IF(AND(AD55&gt;Calcs!AZ21,AD55&lt;=Calcs!BA21),Inline,
IF(AND(AD55&gt;Calcs!BA21,AD55&lt;=Calcs!BC21),Middle20,
IF(AND(AD55&gt;Calcs!BC21,AD55&lt;=Calcs!BD21),Inline,
IF(AND(AD55&gt;Calcs!BD21,AD55&lt;=Calcs!BE21),Highest20,
IF(AD55&gt;Calcs!BE21,Highest10,""))))))))</f>
        <v/>
      </c>
      <c r="AG55" s="49"/>
      <c r="AH55" s="156" t="str">
        <f>IFERROR('Optional - input raw data'!T34/'Optional - input raw data'!T19,"")</f>
        <v/>
      </c>
      <c r="AJ55" s="159" t="str">
        <f>IF(OR(AJ$14="",AJ$15="",AJ$16="",AJ$17="",AH55=""),"",
IF(AH55&lt;=Calcs!BG21,Lowest10,
IF(AND(AH55&gt;Calcs!BG21,AH55&lt;=Calcs!BH21),Lowest20,
IF(AND(AH55&gt;Calcs!BH21,AH55&lt;=Calcs!BI21),Inline,
IF(AND(AH55&gt;Calcs!BI21,AH55&lt;=Calcs!BK21),Middle20,
IF(AND(AH55&gt;Calcs!BK21,AH55&lt;=Calcs!BL21),Inline,
IF(AND(AH55&gt;Calcs!BL21,AH55&lt;=Calcs!BM21),Highest20,
IF(AH55&gt;Calcs!BM21,Highest10,""))))))))</f>
        <v/>
      </c>
      <c r="AK55" s="49"/>
      <c r="AL55" s="156" t="str">
        <f>IFERROR('Optional - input raw data'!V34/'Optional - input raw data'!V19,"")</f>
        <v/>
      </c>
      <c r="AN55" s="159" t="str">
        <f>IF(OR(AN$14="",AN$15="",AN$16="",AN$17="",AL55=""),"",
IF(AL55&lt;=Calcs!BO21,Lowest10,
IF(AND(AL55&gt;Calcs!BO21,AL55&lt;=Calcs!BP21),Lowest20,
IF(AND(AL55&gt;Calcs!BP21,AL55&lt;=Calcs!BQ21),Inline,
IF(AND(AL55&gt;Calcs!BQ21,AL55&lt;=Calcs!BS21),Middle20,
IF(AND(AL55&gt;Calcs!BS21,AL55&lt;=Calcs!BT21),Inline,
IF(AND(AL55&gt;Calcs!BT21,AL55&lt;=Calcs!BU21),Highest20,
IF(AL55&gt;Calcs!BU21,Highest10,""))))))))</f>
        <v/>
      </c>
      <c r="AO55" s="49"/>
      <c r="AP55" s="156" t="str">
        <f>IFERROR('Optional - input raw data'!X34/'Optional - input raw data'!X19,"")</f>
        <v/>
      </c>
      <c r="AR55" s="159" t="str">
        <f>IF(OR(AR$14="",AR$15="",AR$16="",AR$17="",AP55=""),"",
IF(AP55&lt;=Calcs!BW21,Lowest10,
IF(AND(AP55&gt;Calcs!BW21,AP55&lt;=Calcs!BX21),Lowest20,
IF(AND(AP55&gt;Calcs!BX21,AP55&lt;=Calcs!BY21),Inline,
IF(AND(AP55&gt;Calcs!BY21,AP55&lt;=Calcs!CA21),Middle20,
IF(AND(AP55&gt;Calcs!CA21,AP55&lt;=Calcs!CB21),Inline,
IF(AND(AP55&gt;Calcs!CB21,AP55&lt;=Calcs!CC21),Highest20,
IF(AP55&gt;Calcs!CC21,Highest10,""))))))))</f>
        <v/>
      </c>
      <c r="AS55" s="49"/>
      <c r="AT55" s="156" t="str">
        <f>IFERROR('Optional - input raw data'!Z34/'Optional - input raw data'!Z19,"")</f>
        <v/>
      </c>
      <c r="AV55" s="159" t="str">
        <f>IF(OR(AV$14="",AV$15="",AV$16="",AV$17="",AT55=""),"",
IF(AT55&lt;=Calcs!CE21,Lowest10,
IF(AND(AT55&gt;Calcs!CE21,AT55&lt;=Calcs!CF21),Lowest20,
IF(AND(AT55&gt;Calcs!CF21,AT55&lt;=Calcs!CG21),Inline,
IF(AND(AT55&gt;Calcs!CG21,AT55&lt;=Calcs!CI21),Middle20,
IF(AND(AT55&gt;Calcs!CI21,AT55&lt;=Calcs!CJ21),Inline,
IF(AND(AT55&gt;Calcs!CJ21,AT55&lt;=Calcs!CK21),Highest20,
IF(AT55&gt;Calcs!CK21,Highest10,""))))))))</f>
        <v/>
      </c>
      <c r="AW55" s="49"/>
      <c r="AX55" s="156" t="str">
        <f>IFERROR('Optional - input raw data'!AB34/'Optional - input raw data'!AB19,"")</f>
        <v/>
      </c>
      <c r="AZ55" s="159" t="str">
        <f>IF(OR(AZ$14="",AZ$15="",AZ$16="",AZ$17="",AX55=""),"",
IF(AX55&lt;=Calcs!CM21,Lowest10,
IF(AND(AX55&gt;Calcs!CM21,AX55&lt;=Calcs!CN21),Lowest20,
IF(AND(AX55&gt;Calcs!CN21,AX55&lt;=Calcs!CO21),Inline,
IF(AND(AX55&gt;Calcs!CO21,AX55&lt;=Calcs!CQ21),Middle20,
IF(AND(AX55&gt;Calcs!CQ21,AX55&lt;=Calcs!CR21),Inline,
IF(AND(AX55&gt;Calcs!CR21,AX55&lt;=Calcs!CS21),Highest20,
IF(AX55&gt;Calcs!CS21,Highest10,""))))))))</f>
        <v/>
      </c>
      <c r="BA55" s="49"/>
      <c r="BB55" s="156" t="str">
        <f>IFERROR('Optional - input raw data'!AD34/'Optional - input raw data'!AD19,"")</f>
        <v/>
      </c>
      <c r="BD55" s="159" t="str">
        <f>IF(OR(BD$14="",BD$15="",BD$16="",BD$17="",BB55=""),"",
IF(BB55&lt;=Calcs!CU21,Lowest10,
IF(AND(BB55&gt;Calcs!CU21,BB55&lt;=Calcs!CV21),Lowest20,
IF(AND(BB55&gt;Calcs!CV21,BB55&lt;=Calcs!CW21),Inline,
IF(AND(BB55&gt;Calcs!CW21,BB55&lt;=Calcs!CY21),Middle20,
IF(AND(BB55&gt;Calcs!CY21,BB55&lt;=Calcs!CZ21),Inline,
IF(AND(BB55&gt;Calcs!CZ21,BB55&lt;=Calcs!DA21),Highest20,
IF(BB55&gt;Calcs!DA21,Highest10,""))))))))</f>
        <v/>
      </c>
      <c r="BE55" s="49"/>
      <c r="BF55" s="156" t="str">
        <f>IFERROR('Optional - input raw data'!AF34/'Optional - input raw data'!AF19,"")</f>
        <v/>
      </c>
      <c r="BH55" s="159" t="str">
        <f>IF(OR(BH$14="",BH$15="",BH$16="",BH$17="",BF55=""),"",
IF(BF55&lt;=Calcs!DC21,Lowest10,
IF(AND(BF55&gt;Calcs!DC21,BF55&lt;=Calcs!DD21),Lowest20,
IF(AND(BF55&gt;Calcs!DD21,BF55&lt;=Calcs!DE21),Inline,
IF(AND(BF55&gt;Calcs!DE21,BF55&lt;=Calcs!DG21),Middle20,
IF(AND(BF55&gt;Calcs!DG21,BF55&lt;=Calcs!DH21),Inline,
IF(AND(BF55&gt;Calcs!DH21,BF55&lt;=Calcs!DI21),Highest20,
IF(BF55&gt;Calcs!DI21,Highest10,""))))))))</f>
        <v/>
      </c>
      <c r="BI55" s="49"/>
      <c r="BJ55" s="156" t="str">
        <f>IFERROR('Optional - input raw data'!AH34/'Optional - input raw data'!AH19,"")</f>
        <v/>
      </c>
      <c r="BL55" s="159" t="str">
        <f>IF(OR(BL$14="",BL$15="",BL$16="",BL$17="",BJ55=""),"",
IF(BJ55&lt;=Calcs!DK21,Lowest10,
IF(AND(BJ55&gt;Calcs!DK21,BJ55&lt;=Calcs!DL21),Lowest20,
IF(AND(BJ55&gt;Calcs!DL21,BJ55&lt;=Calcs!DM21),Inline,
IF(AND(BJ55&gt;Calcs!DM21,BJ55&lt;=Calcs!DO21),Middle20,
IF(AND(BJ55&gt;Calcs!DO21,BJ55&lt;=Calcs!DP21),Inline,
IF(AND(BJ55&gt;Calcs!DP21,BJ55&lt;=Calcs!DQ21),Highest20,
IF(BJ55&gt;Calcs!DQ21,Highest10,""))))))))</f>
        <v/>
      </c>
      <c r="BM55" s="49"/>
      <c r="BN55" s="156" t="str">
        <f>IFERROR('Optional - input raw data'!AJ34/'Optional - input raw data'!AJ19,"")</f>
        <v/>
      </c>
      <c r="BP55" s="159" t="str">
        <f>IF(OR(BP$14="",BP$15="",BP$16="",BP$17="",BN55=""),"",
IF(BN55&lt;=Calcs!DS21,Lowest10,
IF(AND(BN55&gt;Calcs!DS21,BN55&lt;=Calcs!DT21),Lowest20,
IF(AND(BN55&gt;Calcs!DT21,BN55&lt;=Calcs!DU21),Inline,
IF(AND(BN55&gt;Calcs!DU21,BN55&lt;=Calcs!DW21),Middle20,
IF(AND(BN55&gt;Calcs!DW21,BN55&lt;=Calcs!DX21),Inline,
IF(AND(BN55&gt;Calcs!DX21,BN55&lt;=Calcs!DY21),Highest20,
IF(BN55&gt;Calcs!DY21,Highest10,""))))))))</f>
        <v/>
      </c>
      <c r="BQ55" s="49"/>
      <c r="BR55" s="156" t="str">
        <f>IFERROR('Optional - input raw data'!AL34/'Optional - input raw data'!AL19,"")</f>
        <v/>
      </c>
      <c r="BT55" s="159" t="str">
        <f>IF(OR(BT$14="",BT$15="",BT$16="",BT$17="",BR55=""),"",
IF(BR55&lt;=Calcs!EA21,Lowest10,
IF(AND(BR55&gt;Calcs!EA21,BR55&lt;=Calcs!EB21),Lowest20,
IF(AND(BR55&gt;Calcs!EB21,BR55&lt;=Calcs!EC21),Inline,
IF(AND(BR55&gt;Calcs!EC21,BR55&lt;=Calcs!EE21),Middle20,
IF(AND(BR55&gt;Calcs!EE21,BR55&lt;=Calcs!EF21),Inline,
IF(AND(BR55&gt;Calcs!EF21,BR55&lt;=Calcs!EG21),Highest20,
IF(BR55&gt;Calcs!EG21,Highest10,""))))))))</f>
        <v/>
      </c>
      <c r="BU55" s="49"/>
      <c r="BV55" s="156" t="str">
        <f>IFERROR('Optional - input raw data'!AN34/'Optional - input raw data'!AN19,"")</f>
        <v/>
      </c>
      <c r="BX55" s="159" t="str">
        <f>IF(OR(BX$14="",BX$15="",BX$16="",BX$17="",BV55=""),"",
IF(BV55&lt;=Calcs!EI21,Lowest10,
IF(AND(BV55&gt;Calcs!EI21,BV55&lt;=Calcs!EJ21),Lowest20,
IF(AND(BV55&gt;Calcs!EJ21,BV55&lt;=Calcs!EK21),Inline,
IF(AND(BV55&gt;Calcs!EK21,BV55&lt;=Calcs!EM21),Middle20,
IF(AND(BV55&gt;Calcs!EM21,BV55&lt;=Calcs!EN21),Inline,
IF(AND(BV55&gt;Calcs!EN21,BV55&lt;=Calcs!EO21),Highest20,
IF(BV55&gt;Calcs!EO21,Highest10,""))))))))</f>
        <v/>
      </c>
      <c r="BY55" s="49"/>
      <c r="BZ55" s="156" t="str">
        <f>IFERROR('Optional - input raw data'!AP34/'Optional - input raw data'!AP19,"")</f>
        <v/>
      </c>
      <c r="CB55" s="159" t="str">
        <f>IF(OR(CB$14="",CB$15="",CB$16="",CB$17="",BZ55=""),"",
IF(BZ55&lt;=Calcs!EQ21,Lowest10,
IF(AND(BZ55&gt;Calcs!EQ21,BZ55&lt;=Calcs!ER21),Lowest20,
IF(AND(BZ55&gt;Calcs!ER21,BZ55&lt;=Calcs!ES21),Inline,
IF(AND(BZ55&gt;Calcs!ES21,BZ55&lt;=Calcs!EU21),Middle20,
IF(AND(BZ55&gt;Calcs!EU21,BZ55&lt;=Calcs!EV21),Inline,
IF(AND(BZ55&gt;Calcs!EV21,BZ55&lt;=Calcs!EW21),Highest20,
IF(BZ55&gt;Calcs!EW21,Highest10,""))))))))</f>
        <v/>
      </c>
      <c r="CC55" s="49"/>
      <c r="CD55" s="156" t="str">
        <f>IFERROR('Optional - input raw data'!AR34/'Optional - input raw data'!AR19,Calcs!$A$75)</f>
        <v/>
      </c>
      <c r="CF55" s="159" t="str">
        <f>IF(OR(CF$14="",CF$15="",CF$16="",CF$17="",CD55=""),"",
IF(CD55&lt;=Calcs!EY21,Lowest10,
IF(AND(CD55&gt;Calcs!EY21,CD55&lt;=Calcs!EZ21),Lowest20,
IF(AND(CD55&gt;Calcs!EZ21,CD55&lt;=Calcs!FA21),Inline,
IF(AND(CD55&gt;Calcs!FA21,CD55&lt;=Calcs!FC21),Middle20,
IF(AND(CD55&gt;Calcs!FC21,CD55&lt;=Calcs!FD21),Inline,
IF(AND(CD55&gt;Calcs!FD21,CD55&lt;=Calcs!FE21),Highest20,
IF(CD55&gt;Calcs!FE21,Highest10,""))))))))</f>
        <v/>
      </c>
      <c r="CG55" s="7"/>
    </row>
    <row r="56" spans="2:85" ht="17.100000000000001" customHeight="1" x14ac:dyDescent="0.2">
      <c r="B56" s="6"/>
      <c r="C56" s="223" t="s">
        <v>34</v>
      </c>
      <c r="D56" s="219" t="s">
        <v>58</v>
      </c>
      <c r="E56" s="49"/>
      <c r="F56" s="155">
        <f>IFERROR('Optional - input raw data'!F20/'Optional - input raw data'!F21,Calcs!$A$75)</f>
        <v>7.1326676176890147E-2</v>
      </c>
      <c r="H56" s="159" t="str">
        <f ca="1">IF(OR(H$14="",H$15="",H$16="",H$17="",F56=""),"",
IF(F56&lt;=Calcs!E17,Inline,
IF(AND(F56&gt;Calcs!E17,F56&lt;=Calcs!G17),Middle20,
IF(AND(F56&gt;Calcs!G17,F56&lt;=Calcs!H17),Inline,
IF(AND(F56&gt;Calcs!H17,F56&lt;=Calcs!I17),Highest20,
IF(F56&gt;Calcs!I17,Highest10,""))))))</f>
        <v>Highest 20% of similar schools</v>
      </c>
      <c r="I56" s="49"/>
      <c r="J56" s="155" t="str">
        <f>IFERROR('Optional - input raw data'!H20/'Optional - input raw data'!H21,Calcs!$A$75)</f>
        <v/>
      </c>
      <c r="L56" s="159" t="str">
        <f>IF(OR(L$14="",L$15="",L$16="",L$17="",J56=""),"",
IF(J56&lt;=Calcs!M17,Inline,
IF(AND(J56&gt;Calcs!M17,J56&lt;=Calcs!O17),Middle20,
IF(AND(J56&gt;Calcs!O17,J56&lt;=Calcs!P17),Inline,
IF(AND(J56&gt;Calcs!P17,J56&lt;=Calcs!Q17),Highest20,
IF(J56&gt;Calcs!Q17,Highest10,""))))))</f>
        <v/>
      </c>
      <c r="M56" s="49"/>
      <c r="N56" s="155" t="str">
        <f>IFERROR('Optional - input raw data'!J20/'Optional - input raw data'!J21,Calcs!$A$75)</f>
        <v/>
      </c>
      <c r="P56" s="159" t="str">
        <f>IF(OR(P$14="",P$15="",P$16="",P$17="",N56=""),"",
IF(N56&lt;=Calcs!U17,Inline,
IF(AND(N56&gt;Calcs!U17,N56&lt;=Calcs!W17),Middle20,
IF(AND(N56&gt;Calcs!W17,N56&lt;=Calcs!X17),Inline,
IF(AND(N56&gt;Calcs!X17,N56&lt;=Calcs!Y17),Highest20,
IF(N56&gt;Calcs!Y17,Highest10,""))))))</f>
        <v/>
      </c>
      <c r="Q56" s="49"/>
      <c r="R56" s="155" t="str">
        <f>IFERROR('Optional - input raw data'!L20/'Optional - input raw data'!L21,Calcs!$A$75)</f>
        <v/>
      </c>
      <c r="T56" s="159" t="str">
        <f>IF(OR(T$14="",T$15="",T$16="",T$17="",R56=""),"",
IF(R56&lt;=Calcs!AC17,Inline,
IF(AND(R56&gt;Calcs!AC17,R56&lt;=Calcs!AE17),Middle20,
IF(AND(R56&gt;Calcs!AE17,R56&lt;=Calcs!AF17),Inline,
IF(AND(R56&gt;Calcs!AF17,R56&lt;=Calcs!AG17),Highest20,
IF(R56&gt;Calcs!AG17,Highest10,""))))))</f>
        <v/>
      </c>
      <c r="U56" s="49"/>
      <c r="V56" s="155" t="str">
        <f>IFERROR('Optional - input raw data'!N20/'Optional - input raw data'!N21,"")</f>
        <v/>
      </c>
      <c r="X56" s="159" t="str">
        <f>IF(OR(X$14="",X$15="",X$16="",X$17="",V56=""),"",
IF(V56&lt;=Calcs!AK17,Inline,
IF(AND(V56&gt;Calcs!AK17,V56&lt;=Calcs!AM17),Middle20,
IF(AND(V56&gt;Calcs!AM17,V56&lt;=Calcs!AN17),Inline,
IF(AND(V56&gt;Calcs!AN17,V56&lt;=Calcs!AO17),Highest20,
IF(V56&gt;Calcs!AO17,Highest10,""))))))</f>
        <v/>
      </c>
      <c r="Y56" s="49"/>
      <c r="Z56" s="155" t="str">
        <f>IFERROR('Optional - input raw data'!P20/'Optional - input raw data'!P21,"")</f>
        <v/>
      </c>
      <c r="AB56" s="159" t="str">
        <f>IF(OR(AB$14="",AB$15="",AB$16="",AB$17="",Z56=""),"",
IF(Z56&lt;=Calcs!AS17,Inline,
IF(AND(Z56&gt;Calcs!AS17,Z56&lt;=Calcs!AU17),Middle20,
IF(AND(Z56&gt;Calcs!AU17,Z56&lt;=Calcs!AV17),Inline,
IF(AND(Z56&gt;Calcs!AV17,Z56&lt;=Calcs!AW17),Highest20,
IF(Z56&gt;Calcs!AW17,Highest10,""))))))</f>
        <v/>
      </c>
      <c r="AC56" s="49"/>
      <c r="AD56" s="155" t="str">
        <f>IFERROR('Optional - input raw data'!R20/'Optional - input raw data'!R21,"")</f>
        <v/>
      </c>
      <c r="AF56" s="159" t="str">
        <f>IF(OR(AF$14="",AF$15="",AF$16="",AF$17="",AD56=""),"",
IF(AD56&lt;=Calcs!BA17,Inline,
IF(AND(AD56&gt;Calcs!BA17,AD56&lt;=Calcs!BC17),Middle20,
IF(AND(AD56&gt;Calcs!BC17,AD56&lt;=Calcs!BD17),Inline,
IF(AND(AD56&gt;Calcs!BD17,AD56&lt;=Calcs!BE17),Highest20,
IF(AD56&gt;Calcs!BE17,Highest10,""))))))</f>
        <v/>
      </c>
      <c r="AG56" s="49"/>
      <c r="AH56" s="155" t="str">
        <f>IFERROR('Optional - input raw data'!T20/'Optional - input raw data'!T21,"")</f>
        <v/>
      </c>
      <c r="AJ56" s="159" t="str">
        <f>IF(OR(AJ$14="",AJ$15="",AJ$16="",AJ$17="",AH56=""),"",
IF(AH56&lt;=Calcs!BI17,Inline,
IF(AND(AH56&gt;Calcs!BI17,AH56&lt;=Calcs!BK17),Middle20,
IF(AND(AH56&gt;Calcs!BK17,AH56&lt;=Calcs!BL17),Inline,
IF(AND(AH56&gt;Calcs!BL17,AH56&lt;=Calcs!BM17),Highest20,
IF(AH56&gt;Calcs!BM17,Highest10,""))))))</f>
        <v/>
      </c>
      <c r="AK56" s="49"/>
      <c r="AL56" s="155" t="str">
        <f>IFERROR('Optional - input raw data'!V20/'Optional - input raw data'!V21,"")</f>
        <v/>
      </c>
      <c r="AN56" s="159" t="str">
        <f>IF(OR(AN$14="",AN$15="",AN$16="",AN$17="",AL56=""),"",
IF(AL56&lt;=Calcs!BQ17,Inline,
IF(AND(AL56&gt;Calcs!BQ17,AL56&lt;=Calcs!BS17),Middle20,
IF(AND(AL56&gt;Calcs!BS17,AL56&lt;=Calcs!BT17),Inline,
IF(AND(AL56&gt;Calcs!BT17,AL56&lt;=Calcs!BU17),Highest20,
IF(AL56&gt;Calcs!BU17,Highest10,""))))))</f>
        <v/>
      </c>
      <c r="AO56" s="49"/>
      <c r="AP56" s="155" t="str">
        <f>IFERROR('Optional - input raw data'!X20/'Optional - input raw data'!X21,"")</f>
        <v/>
      </c>
      <c r="AR56" s="159" t="str">
        <f>IF(OR(AR$14="",AR$15="",AR$16="",AR$17="",AP56=""),"",
IF(AP56&lt;=Calcs!BY17,Inline,
IF(AND(AP56&gt;Calcs!BY17,AP56&lt;=Calcs!CA17),Middle20,
IF(AND(AP56&gt;Calcs!CA17,AP56&lt;=Calcs!CB17),Inline,
IF(AND(AP56&gt;Calcs!CB17,AP56&lt;=Calcs!CC17),Highest20,
IF(AP56&gt;Calcs!CC17,Highest10,""))))))</f>
        <v/>
      </c>
      <c r="AS56" s="49"/>
      <c r="AT56" s="155" t="str">
        <f>IFERROR('Optional - input raw data'!Z20/'Optional - input raw data'!Z21,"")</f>
        <v/>
      </c>
      <c r="AV56" s="159" t="str">
        <f>IF(OR(AV$14="",AV$15="",AV$16="",AV$17="",AT56=""),"",
IF(AT56&lt;=Calcs!CG17,Inline,
IF(AND(AT56&gt;Calcs!CG17,AT56&lt;=Calcs!CI17),Middle20,
IF(AND(AT56&gt;Calcs!CI17,AT56&lt;=Calcs!CJ17),Inline,
IF(AND(AT56&gt;Calcs!CJ17,AT56&lt;=Calcs!CK17),Highest20,
IF(AT56&gt;Calcs!CK17,Highest10,""))))))</f>
        <v/>
      </c>
      <c r="AW56" s="49"/>
      <c r="AX56" s="155" t="str">
        <f>IFERROR('Optional - input raw data'!AB20/'Optional - input raw data'!AB21,"")</f>
        <v/>
      </c>
      <c r="AZ56" s="159" t="str">
        <f>IF(OR(AZ$14="",AZ$15="",AZ$16="",AZ$17="",AX56=""),"",
IF(AX56&lt;=Calcs!CO17,Inline,
IF(AND(AX56&gt;Calcs!CO17,AX56&lt;=Calcs!CQ17),Middle20,
IF(AND(AX56&gt;Calcs!CQ17,AX56&lt;=Calcs!CR17),Inline,
IF(AND(AX56&gt;Calcs!CR17,AX56&lt;=Calcs!CS17),Highest20,
IF(AX56&gt;Calcs!CS17,Highest10,""))))))</f>
        <v/>
      </c>
      <c r="BA56" s="49"/>
      <c r="BB56" s="155" t="str">
        <f>IFERROR('Optional - input raw data'!AD20/'Optional - input raw data'!AD21,"")</f>
        <v/>
      </c>
      <c r="BD56" s="159" t="str">
        <f>IF(OR(BD$14="",BD$15="",BD$16="",BD$17="",BB56=""),"",
IF(BB56&lt;=Calcs!CW17,Inline,
IF(AND(BB56&gt;Calcs!CW17,BB56&lt;=Calcs!CY17),Middle20,
IF(AND(BB56&gt;Calcs!CY17,BB56&lt;=Calcs!CZ17),Inline,
IF(AND(BB56&gt;Calcs!CZ17,BB56&lt;=Calcs!DA17),Highest20,
IF(BB56&gt;Calcs!DA17,Highest10,""))))))</f>
        <v/>
      </c>
      <c r="BE56" s="49"/>
      <c r="BF56" s="155" t="str">
        <f>IFERROR('Optional - input raw data'!AF20/'Optional - input raw data'!AF21,"")</f>
        <v/>
      </c>
      <c r="BH56" s="159" t="str">
        <f>IF(OR(BH$14="",BH$15="",BH$16="",BH$17="",BF56=""),"",
IF(BF56&lt;=Calcs!DE17,Inline,
IF(AND(BF56&gt;Calcs!DE17,BF56&lt;=Calcs!DG17),Middle20,
IF(AND(BF56&gt;Calcs!DG17,BF56&lt;=Calcs!DH17),Inline,
IF(AND(BF56&gt;Calcs!DH17,BF56&lt;=Calcs!DI17),Highest20,
IF(BF56&gt;Calcs!DI17,Highest10,""))))))</f>
        <v/>
      </c>
      <c r="BI56" s="49"/>
      <c r="BJ56" s="155" t="str">
        <f>IFERROR('Optional - input raw data'!AH20/'Optional - input raw data'!AH21,"")</f>
        <v/>
      </c>
      <c r="BL56" s="159" t="str">
        <f>IF(OR(BL$14="",BL$15="",BL$16="",BL$17="",BJ56=""),"",
IF(BJ56&lt;=Calcs!DM17,Inline,
IF(AND(BJ56&gt;Calcs!DM17,BJ56&lt;=Calcs!DO17),Middle20,
IF(AND(BJ56&gt;Calcs!DO17,BJ56&lt;=Calcs!DP17),Inline,
IF(AND(BJ56&gt;Calcs!DP17,BJ56&lt;=Calcs!DQ17),Highest20,
IF(BJ56&gt;Calcs!DQ17,Highest10,""))))))</f>
        <v/>
      </c>
      <c r="BM56" s="49"/>
      <c r="BN56" s="155" t="str">
        <f>IFERROR('Optional - input raw data'!AJ20/'Optional - input raw data'!AJ21,"")</f>
        <v/>
      </c>
      <c r="BP56" s="159" t="str">
        <f>IF(OR(BP$14="",BP$15="",BP$16="",BP$17="",BN56=""),"",
IF(BN56&lt;=Calcs!DU17,Inline,
IF(AND(BN56&gt;Calcs!DU17,BN56&lt;=Calcs!DW17),Middle20,
IF(AND(BN56&gt;Calcs!DW17,BN56&lt;=Calcs!DX17),Inline,
IF(AND(BN56&gt;Calcs!DX17,BN56&lt;=Calcs!DY17),Highest20,
IF(BN56&gt;Calcs!DY17,Highest10,""))))))</f>
        <v/>
      </c>
      <c r="BQ56" s="49"/>
      <c r="BR56" s="155" t="str">
        <f>IFERROR('Optional - input raw data'!AL20/'Optional - input raw data'!AL21,"")</f>
        <v/>
      </c>
      <c r="BT56" s="159" t="str">
        <f>IF(OR(BT$14="",BT$15="",BT$16="",BT$17="",BR56=""),"",
IF(BR56&lt;=Calcs!EC17,Inline,
IF(AND(BR56&gt;Calcs!EC17,BR56&lt;=Calcs!EE17),Middle20,
IF(AND(BR56&gt;Calcs!EE17,BR56&lt;=Calcs!EF17),Inline,
IF(AND(BR56&gt;Calcs!EF17,BR56&lt;=Calcs!EG17),Highest20,
IF(BR56&gt;Calcs!EG17,Highest10,""))))))</f>
        <v/>
      </c>
      <c r="BU56" s="49"/>
      <c r="BV56" s="155" t="str">
        <f>IFERROR('Optional - input raw data'!AN20/'Optional - input raw data'!AN21,"")</f>
        <v/>
      </c>
      <c r="BX56" s="159" t="str">
        <f>IF(OR(BX$14="",BX$15="",BX$16="",BX$17="",BV56=""),"",
IF(BV56&lt;=Calcs!EK17,Inline,
IF(AND(BV56&gt;Calcs!EK17,BV56&lt;=Calcs!EM17),Middle20,
IF(AND(BV56&gt;Calcs!EM17,BV56&lt;=Calcs!EN17),Inline,
IF(AND(BV56&gt;Calcs!EN17,BV56&lt;=Calcs!EO17),Highest20,
IF(BV56&gt;Calcs!EO17,Highest10,""))))))</f>
        <v/>
      </c>
      <c r="BY56" s="49"/>
      <c r="BZ56" s="155" t="str">
        <f>IFERROR('Optional - input raw data'!AP20/'Optional - input raw data'!AP21,"")</f>
        <v/>
      </c>
      <c r="CB56" s="159" t="str">
        <f>IF(OR(CB$14="",CB$15="",CB$16="",CB$17="",BZ56=""),"",
IF(BZ56&lt;=Calcs!ES17,Inline,
IF(AND(BZ56&gt;Calcs!ES17,BZ56&lt;=Calcs!EU17),Middle20,
IF(AND(BZ56&gt;Calcs!EU17,BZ56&lt;=Calcs!EV17),Inline,
IF(AND(BZ56&gt;Calcs!EV17,BZ56&lt;=Calcs!EW17),Highest20,
IF(BZ56&gt;Calcs!EW17,Highest10,""))))))</f>
        <v/>
      </c>
      <c r="CC56" s="49"/>
      <c r="CD56" s="155" t="str">
        <f>IFERROR('Optional - input raw data'!AR20/'Optional - input raw data'!AR21,Calcs!$A$75)</f>
        <v/>
      </c>
      <c r="CF56" s="159" t="str">
        <f>IF(OR(CF$14="",CF$15="",CF$16="",CF$17="",CD56=""),"",
IF(CD56&lt;=Calcs!FA17,Inline,
IF(AND(CD56&gt;Calcs!FA17,CD56&lt;=Calcs!FC17),Middle20,
IF(AND(CD56&gt;Calcs!FC17,CD56&lt;=Calcs!FD17),Inline,
IF(AND(CD56&gt;Calcs!FD17,CD56&lt;=Calcs!FE17),Highest20,
IF(CD56&gt;Calcs!FE17,Highest10,""))))))</f>
        <v/>
      </c>
      <c r="CG56" s="7"/>
    </row>
    <row r="57" spans="2:85" ht="17.100000000000001" customHeight="1" x14ac:dyDescent="0.2">
      <c r="B57" s="6"/>
      <c r="C57" s="223" t="s">
        <v>4</v>
      </c>
      <c r="D57" s="219" t="s">
        <v>58</v>
      </c>
      <c r="E57" s="49"/>
      <c r="F57" s="157">
        <f>IFERROR(H16/'Optional - input raw data'!F19,Calcs!$A$75)</f>
        <v>18.464900300464354</v>
      </c>
      <c r="H57" s="159" t="str">
        <f ca="1">IF(OR(H$14="",H$15="",H$16="",H$17="",F57=""),"",
IF(F57&lt;=Calcs!C18,Lowest10,
IF(AND(F57&gt;Calcs!C18,F57&lt;=Calcs!D18),Lowest20,
IF(AND(F57&gt;Calcs!D18,F57&lt;=Calcs!E18),Inline,
IF(AND(F57&gt;Calcs!E18,F57&lt;=Calcs!G18),Middle20,
IF(AND(F57&gt;Calcs!G18,F57&lt;=Calcs!H18),Inline,
IF(AND(F57&gt;Calcs!H18,F57&lt;=Calcs!I18),Highest20,
IF(F57&gt;Calcs!I18,Highest10,""))))))))</f>
        <v>Highest 20% of similar schools</v>
      </c>
      <c r="I57" s="49"/>
      <c r="J57" s="157" t="str">
        <f>IFERROR(L16/'Optional - input raw data'!H19,Calcs!$A$75)</f>
        <v/>
      </c>
      <c r="L57" s="159" t="str">
        <f>IF(OR(L$14="",L$15="",L$16="",L$17="",J57=""),"",
IF(J57&lt;=Calcs!K18,Lowest10,
IF(AND(J57&gt;Calcs!K18,J57&lt;=Calcs!L18),Lowest20,
IF(AND(J57&gt;Calcs!L18,J57&lt;=Calcs!M18),Inline,
IF(AND(J57&gt;Calcs!M18,J57&lt;=Calcs!O18),Middle20,
IF(AND(J57&gt;Calcs!O18,J57&lt;=Calcs!P18),Inline,
IF(AND(J57&gt;Calcs!P18,J57&lt;=Calcs!Q18),Highest20,
IF(J57&gt;Calcs!Q18,Highest10,""))))))))</f>
        <v/>
      </c>
      <c r="M57" s="49"/>
      <c r="N57" s="157" t="str">
        <f>IFERROR(P16/'Optional - input raw data'!J19,Calcs!$A$75)</f>
        <v/>
      </c>
      <c r="P57" s="159" t="str">
        <f>IF(OR(P$14="",P$15="",P$16="",P$17="",N57=""),"",
IF(N57&lt;=Calcs!S18,Lowest10,
IF(AND(N57&gt;Calcs!S18,N57&lt;=Calcs!T18),Lowest20,
IF(AND(N57&gt;Calcs!T18,N57&lt;=Calcs!U18),Inline,
IF(AND(N57&gt;Calcs!U18,N57&lt;=Calcs!W18),Middle20,
IF(AND(N57&gt;Calcs!W18,N57&lt;=Calcs!X18),Inline,
IF(AND(N57&gt;Calcs!X18,N57&lt;=Calcs!Y18),Highest20,
IF(N57&gt;Calcs!Y18,Highest10,""))))))))</f>
        <v/>
      </c>
      <c r="Q57" s="49"/>
      <c r="R57" s="157" t="str">
        <f>IFERROR(T16/'Optional - input raw data'!L19,Calcs!$A$75)</f>
        <v/>
      </c>
      <c r="T57" s="159" t="str">
        <f>IF(OR(T$14="",T$15="",T$16="",T$17="",R57=""),"",
IF(R57&lt;=Calcs!AA18,Lowest10,
IF(AND(R57&gt;Calcs!AA18,R57&lt;=Calcs!AB18),Lowest20,
IF(AND(R57&gt;Calcs!AB18,R57&lt;=Calcs!AC18),Inline,
IF(AND(R57&gt;Calcs!AC18,R57&lt;=Calcs!AE18),Middle20,
IF(AND(R57&gt;Calcs!AE18,R57&lt;=Calcs!AF18),Inline,
IF(AND(R57&gt;Calcs!AF18,R57&lt;=Calcs!AG18),Highest20,
IF(R57&gt;Calcs!AG18,Highest10,""))))))))</f>
        <v/>
      </c>
      <c r="U57" s="49"/>
      <c r="V57" s="157" t="str">
        <f>IFERROR(X16/'Optional - input raw data'!N19,"")</f>
        <v/>
      </c>
      <c r="X57" s="159" t="str">
        <f>IF(OR(X$14="",X$15="",X$16="",X$17="",V57=""),"",
IF(V57&lt;=Calcs!AI18,Lowest10,
IF(AND(V57&gt;Calcs!AI18,V57&lt;=Calcs!AJ18),Lowest20,
IF(AND(V57&gt;Calcs!AJ18,V57&lt;=Calcs!AK18),Inline,
IF(AND(V57&gt;Calcs!AK18,V57&lt;=Calcs!AM18),Middle20,
IF(AND(V57&gt;Calcs!AM18,V57&lt;=Calcs!AN18),Inline,
IF(AND(V57&gt;Calcs!AN18,V57&lt;=Calcs!AO18),Highest20,
IF(V57&gt;Calcs!AO18,Highest10,""))))))))</f>
        <v/>
      </c>
      <c r="Y57" s="49"/>
      <c r="Z57" s="157" t="str">
        <f>IFERROR(AB16/'Optional - input raw data'!P19,"")</f>
        <v/>
      </c>
      <c r="AB57" s="159" t="str">
        <f>IF(OR(AB$14="",AB$15="",AB$16="",AB$17="",Z57=""),"",
IF(Z57&lt;=Calcs!AQ18,Lowest10,
IF(AND(Z57&gt;Calcs!AQ18,Z57&lt;=Calcs!AR18),Lowest20,
IF(AND(Z57&gt;Calcs!AR18,Z57&lt;=Calcs!AS18),Inline,
IF(AND(Z57&gt;Calcs!AS18,Z57&lt;=Calcs!AU18),Middle20,
IF(AND(Z57&gt;Calcs!AU18,Z57&lt;=Calcs!AV18),Inline,
IF(AND(Z57&gt;Calcs!AV18,Z57&lt;=Calcs!AW18),Highest20,
IF(Z57&gt;Calcs!AW18,Highest10,""))))))))</f>
        <v/>
      </c>
      <c r="AC57" s="49"/>
      <c r="AD57" s="157" t="str">
        <f>IFERROR(AF16/'Optional - input raw data'!R19,"")</f>
        <v/>
      </c>
      <c r="AF57" s="159" t="str">
        <f>IF(OR(AF$14="",AF$15="",AF$16="",AF$17="",AD57=""),"",
IF(AD57&lt;=Calcs!AY18,Lowest10,
IF(AND(AD57&gt;Calcs!AY18,AD57&lt;=Calcs!AZ18),Lowest20,
IF(AND(AD57&gt;Calcs!AZ18,AD57&lt;=Calcs!BA18),Inline,
IF(AND(AD57&gt;Calcs!BA18,AD57&lt;=Calcs!BC18),Middle20,
IF(AND(AD57&gt;Calcs!BC18,AD57&lt;=Calcs!BD18),Inline,
IF(AND(AD57&gt;Calcs!BD18,AD57&lt;=Calcs!BE18),Highest20,
IF(AD57&gt;Calcs!BE18,Highest10,""))))))))</f>
        <v/>
      </c>
      <c r="AG57" s="49"/>
      <c r="AH57" s="157" t="str">
        <f>IFERROR(AJ16/'Optional - input raw data'!T19,"")</f>
        <v/>
      </c>
      <c r="AJ57" s="159" t="str">
        <f>IF(OR(AJ$14="",AJ$15="",AJ$16="",AJ$17="",AH57=""),"",
IF(AH57&lt;=Calcs!BG18,Lowest10,
IF(AND(AH57&gt;Calcs!BG18,AH57&lt;=Calcs!BH18),Lowest20,
IF(AND(AH57&gt;Calcs!BH18,AH57&lt;=Calcs!BI18),Inline,
IF(AND(AH57&gt;Calcs!BI18,AH57&lt;=Calcs!BK18),Middle20,
IF(AND(AH57&gt;Calcs!BK18,AH57&lt;=Calcs!BL18),Inline,
IF(AND(AH57&gt;Calcs!BL18,AH57&lt;=Calcs!BM18),Highest20,
IF(AH57&gt;Calcs!BM18,Highest10,""))))))))</f>
        <v/>
      </c>
      <c r="AK57" s="49"/>
      <c r="AL57" s="157" t="str">
        <f>IFERROR(AN16/'Optional - input raw data'!V19,"")</f>
        <v/>
      </c>
      <c r="AN57" s="159" t="str">
        <f>IF(OR(AN$14="",AN$15="",AN$16="",AN$17="",AL57=""),"",
IF(AL57&lt;=Calcs!BO18,Lowest10,
IF(AND(AL57&gt;Calcs!BO18,AL57&lt;=Calcs!BP18),Lowest20,
IF(AND(AL57&gt;Calcs!BP18,AL57&lt;=Calcs!BQ18),Inline,
IF(AND(AL57&gt;Calcs!BQ18,AL57&lt;=Calcs!BS18),Middle20,
IF(AND(AL57&gt;Calcs!BS18,AL57&lt;=Calcs!BT18),Inline,
IF(AND(AL57&gt;Calcs!BT18,AL57&lt;=Calcs!BU18),Highest20,
IF(AL57&gt;Calcs!BU18,Highest10,""))))))))</f>
        <v/>
      </c>
      <c r="AO57" s="49"/>
      <c r="AP57" s="157" t="str">
        <f>IFERROR(AR16/'Optional - input raw data'!X19,"")</f>
        <v/>
      </c>
      <c r="AR57" s="159" t="str">
        <f>IF(OR(AR$14="",AR$15="",AR$16="",AR$17="",AP57=""),"",
IF(AP57&lt;=Calcs!BW18,Lowest10,
IF(AND(AP57&gt;Calcs!BW18,AP57&lt;=Calcs!BX18),Lowest20,
IF(AND(AP57&gt;Calcs!BX18,AP57&lt;=Calcs!BY18),Inline,
IF(AND(AP57&gt;Calcs!BY18,AP57&lt;=Calcs!CA18),Middle20,
IF(AND(AP57&gt;Calcs!CA18,AP57&lt;=Calcs!CB18),Inline,
IF(AND(AP57&gt;Calcs!CB18,AP57&lt;=Calcs!CC18),Highest20,
IF(AP57&gt;Calcs!CC18,Highest10,""))))))))</f>
        <v/>
      </c>
      <c r="AS57" s="49"/>
      <c r="AT57" s="157" t="str">
        <f>IFERROR(AV16/'Optional - input raw data'!Z19,"")</f>
        <v/>
      </c>
      <c r="AV57" s="159" t="str">
        <f>IF(OR(AV$14="",AV$15="",AV$16="",AV$17="",AT57=""),"",
IF(AT57&lt;=Calcs!CE18,Lowest10,
IF(AND(AT57&gt;Calcs!CE18,AT57&lt;=Calcs!CF18),Lowest20,
IF(AND(AT57&gt;Calcs!CF18,AT57&lt;=Calcs!CG18),Inline,
IF(AND(AT57&gt;Calcs!CG18,AT57&lt;=Calcs!CI18),Middle20,
IF(AND(AT57&gt;Calcs!CI18,AT57&lt;=Calcs!CJ18),Inline,
IF(AND(AT57&gt;Calcs!CJ18,AT57&lt;=Calcs!CK18),Highest20,
IF(AT57&gt;Calcs!CK18,Highest10,""))))))))</f>
        <v/>
      </c>
      <c r="AW57" s="49"/>
      <c r="AX57" s="157" t="str">
        <f>IFERROR(AZ16/'Optional - input raw data'!AB19,"")</f>
        <v/>
      </c>
      <c r="AZ57" s="159" t="str">
        <f>IF(OR(AZ$14="",AZ$15="",AZ$16="",AZ$17="",AX57=""),"",
IF(AX57&lt;=Calcs!CM18,Lowest10,
IF(AND(AX57&gt;Calcs!CM18,AX57&lt;=Calcs!CN18),Lowest20,
IF(AND(AX57&gt;Calcs!CN18,AX57&lt;=Calcs!CO18),Inline,
IF(AND(AX57&gt;Calcs!CO18,AX57&lt;=Calcs!CQ18),Middle20,
IF(AND(AX57&gt;Calcs!CQ18,AX57&lt;=Calcs!CR18),Inline,
IF(AND(AX57&gt;Calcs!CR18,AX57&lt;=Calcs!CS18),Highest20,
IF(AX57&gt;Calcs!CS18,Highest10,""))))))))</f>
        <v/>
      </c>
      <c r="BA57" s="49"/>
      <c r="BB57" s="157" t="str">
        <f>IFERROR(BD16/'Optional - input raw data'!AD19,"")</f>
        <v/>
      </c>
      <c r="BD57" s="159" t="str">
        <f>IF(OR(BD$14="",BD$15="",BD$16="",BD$17="",BB57=""),"",
IF(BB57&lt;=Calcs!CU18,Lowest10,
IF(AND(BB57&gt;Calcs!CU18,BB57&lt;=Calcs!CV18),Lowest20,
IF(AND(BB57&gt;Calcs!CV18,BB57&lt;=Calcs!CW18),Inline,
IF(AND(BB57&gt;Calcs!CW18,BB57&lt;=Calcs!CY18),Middle20,
IF(AND(BB57&gt;Calcs!CY18,BB57&lt;=Calcs!CZ18),Inline,
IF(AND(BB57&gt;Calcs!CZ18,BB57&lt;=Calcs!DA18),Highest20,
IF(BB57&gt;Calcs!DA18,Highest10,""))))))))</f>
        <v/>
      </c>
      <c r="BE57" s="49"/>
      <c r="BF57" s="157" t="str">
        <f>IFERROR(BH16/'Optional - input raw data'!AF19,"")</f>
        <v/>
      </c>
      <c r="BH57" s="159" t="str">
        <f>IF(OR(BH$14="",BH$15="",BH$16="",BH$17="",BF57=""),"",
IF(BF57&lt;=Calcs!DC18,Lowest10,
IF(AND(BF57&gt;Calcs!DC18,BF57&lt;=Calcs!DD18),Lowest20,
IF(AND(BF57&gt;Calcs!DD18,BF57&lt;=Calcs!DE18),Inline,
IF(AND(BF57&gt;Calcs!DE18,BF57&lt;=Calcs!DG18),Middle20,
IF(AND(BF57&gt;Calcs!DG18,BF57&lt;=Calcs!DH18),Inline,
IF(AND(BF57&gt;Calcs!DH18,BF57&lt;=Calcs!DI18),Highest20,
IF(BF57&gt;Calcs!DI18,Highest10,""))))))))</f>
        <v/>
      </c>
      <c r="BI57" s="49"/>
      <c r="BJ57" s="157" t="str">
        <f>IFERROR(BL16/'Optional - input raw data'!AH19,"")</f>
        <v/>
      </c>
      <c r="BL57" s="159" t="str">
        <f>IF(OR(BL$14="",BL$15="",BL$16="",BL$17="",BJ57=""),"",
IF(BJ57&lt;=Calcs!DK18,Lowest10,
IF(AND(BJ57&gt;Calcs!DK18,BJ57&lt;=Calcs!DL18),Lowest20,
IF(AND(BJ57&gt;Calcs!DL18,BJ57&lt;=Calcs!DM18),Inline,
IF(AND(BJ57&gt;Calcs!DM18,BJ57&lt;=Calcs!DO18),Middle20,
IF(AND(BJ57&gt;Calcs!DO18,BJ57&lt;=Calcs!DP18),Inline,
IF(AND(BJ57&gt;Calcs!DP18,BJ57&lt;=Calcs!DQ18),Highest20,
IF(BJ57&gt;Calcs!DQ18,Highest10,""))))))))</f>
        <v/>
      </c>
      <c r="BM57" s="49"/>
      <c r="BN57" s="157" t="str">
        <f>IFERROR(BP16/'Optional - input raw data'!AJ19,"")</f>
        <v/>
      </c>
      <c r="BP57" s="159" t="str">
        <f>IF(OR(BP$14="",BP$15="",BP$16="",BP$17="",BN57=""),"",
IF(BN57&lt;=Calcs!DS18,Lowest10,
IF(AND(BN57&gt;Calcs!DS18,BN57&lt;=Calcs!DT18),Lowest20,
IF(AND(BN57&gt;Calcs!DT18,BN57&lt;=Calcs!DU18),Inline,
IF(AND(BN57&gt;Calcs!DU18,BN57&lt;=Calcs!DW18),Middle20,
IF(AND(BN57&gt;Calcs!DW18,BN57&lt;=Calcs!DX18),Inline,
IF(AND(BN57&gt;Calcs!DX18,BN57&lt;=Calcs!DY18),Highest20,
IF(BN57&gt;Calcs!DY18,Highest10,""))))))))</f>
        <v/>
      </c>
      <c r="BQ57" s="49"/>
      <c r="BR57" s="157" t="str">
        <f>IFERROR(BT16/'Optional - input raw data'!AL19,"")</f>
        <v/>
      </c>
      <c r="BT57" s="159" t="str">
        <f>IF(OR(BT$14="",BT$15="",BT$16="",BT$17="",BR57=""),"",
IF(BR57&lt;=Calcs!EA18,Lowest10,
IF(AND(BR57&gt;Calcs!EA18,BR57&lt;=Calcs!EB18),Lowest20,
IF(AND(BR57&gt;Calcs!EB18,BR57&lt;=Calcs!EC18),Inline,
IF(AND(BR57&gt;Calcs!EC18,BR57&lt;=Calcs!EE18),Middle20,
IF(AND(BR57&gt;Calcs!EE18,BR57&lt;=Calcs!EF18),Inline,
IF(AND(BR57&gt;Calcs!EF18,BR57&lt;=Calcs!EG18),Highest20,
IF(BR57&gt;Calcs!EG18,Highest10,""))))))))</f>
        <v/>
      </c>
      <c r="BU57" s="49"/>
      <c r="BV57" s="157" t="str">
        <f>IFERROR(BX16/'Optional - input raw data'!AN19,"")</f>
        <v/>
      </c>
      <c r="BX57" s="159" t="str">
        <f>IF(OR(BX$14="",BX$15="",BX$16="",BX$17="",BV57=""),"",
IF(BV57&lt;=Calcs!EI18,Lowest10,
IF(AND(BV57&gt;Calcs!EI18,BV57&lt;=Calcs!EJ18),Lowest20,
IF(AND(BV57&gt;Calcs!EJ18,BV57&lt;=Calcs!EK18),Inline,
IF(AND(BV57&gt;Calcs!EK18,BV57&lt;=Calcs!EM18),Middle20,
IF(AND(BV57&gt;Calcs!EM18,BV57&lt;=Calcs!EN18),Inline,
IF(AND(BV57&gt;Calcs!EN18,BV57&lt;=Calcs!EO18),Highest20,
IF(BV57&gt;Calcs!EO18,Highest10,""))))))))</f>
        <v/>
      </c>
      <c r="BY57" s="49"/>
      <c r="BZ57" s="157" t="str">
        <f>IFERROR(CB16/'Optional - input raw data'!AP19,"")</f>
        <v/>
      </c>
      <c r="CB57" s="159" t="str">
        <f>IF(OR(CB$14="",CB$15="",CB$16="",CB$17="",BZ57=""),"",
IF(BZ57&lt;=Calcs!EQ18,Lowest10,
IF(AND(BZ57&gt;Calcs!EQ18,BZ57&lt;=Calcs!ER18),Lowest20,
IF(AND(BZ57&gt;Calcs!ER18,BZ57&lt;=Calcs!ES18),Inline,
IF(AND(BZ57&gt;Calcs!ES18,BZ57&lt;=Calcs!EU18),Middle20,
IF(AND(BZ57&gt;Calcs!EU18,BZ57&lt;=Calcs!EV18),Inline,
IF(AND(BZ57&gt;Calcs!EV18,BZ57&lt;=Calcs!EW18),Highest20,
IF(BZ57&gt;Calcs!EW18,Highest10,""))))))))</f>
        <v/>
      </c>
      <c r="CC57" s="49"/>
      <c r="CD57" s="157" t="str">
        <f>IFERROR(CF16/'Optional - input raw data'!AR19,Calcs!$A$75)</f>
        <v/>
      </c>
      <c r="CF57" s="159" t="str">
        <f>IF(OR(CF$14="",CF$15="",CF$16="",CF$17="",CD57=""),"",
IF(CD57&lt;=Calcs!EY18,Lowest10,
IF(AND(CD57&gt;Calcs!EY18,CD57&lt;=Calcs!EZ18),Lowest20,
IF(AND(CD57&gt;Calcs!EZ18,CD57&lt;=Calcs!FA18),Inline,
IF(AND(CD57&gt;Calcs!FA18,CD57&lt;=Calcs!FC18),Middle20,
IF(AND(CD57&gt;Calcs!FC18,CD57&lt;=Calcs!FD18),Inline,
IF(AND(CD57&gt;Calcs!FD18,CD57&lt;=Calcs!FE18),Highest20,
IF(CD57&gt;Calcs!FE18,Highest10,""))))))))</f>
        <v/>
      </c>
      <c r="CG57" s="7"/>
    </row>
    <row r="58" spans="2:85" ht="17.100000000000001" customHeight="1" x14ac:dyDescent="0.2">
      <c r="B58" s="6"/>
      <c r="C58" s="223" t="s">
        <v>14</v>
      </c>
      <c r="D58" s="219" t="s">
        <v>58</v>
      </c>
      <c r="E58" s="49"/>
      <c r="F58" s="157">
        <f>IFERROR(H16/'Optional - input raw data'!F21,Calcs!$A$75)</f>
        <v>10.714851799017277</v>
      </c>
      <c r="H58" s="159" t="str">
        <f ca="1">IF(OR(H$14="",H$15="",H$16="",H$17="",F58=""),"",
IF(F58&lt;=Calcs!C19,Lowest10,
IF(AND(F58&gt;Calcs!C19,F58&lt;=Calcs!D19),Lowest20,
IF(AND(F58&gt;Calcs!D19,F58&lt;=Calcs!E19),Inline,
IF(AND(F58&gt;Calcs!E19,F58&lt;=Calcs!G19),Middle20,
IF(AND(F58&gt;Calcs!G19,F58&lt;=Calcs!H19),Inline,
IF(AND(F58&gt;Calcs!H19,F58&lt;=Calcs!I19),Highest20,
IF(F58&gt;Calcs!I19,Highest10,""))))))))</f>
        <v>Broadly in line with similar schools</v>
      </c>
      <c r="I58" s="49"/>
      <c r="J58" s="157" t="str">
        <f>IFERROR(L16/'Optional - input raw data'!H21,Calcs!$A$75)</f>
        <v/>
      </c>
      <c r="L58" s="159" t="str">
        <f>IF(OR(L$14="",L$15="",L$16="",L$17="",J58=""),"",
IF(J58&lt;=Calcs!K19,Lowest10,
IF(AND(J58&gt;Calcs!K19,J58&lt;=Calcs!L19),Lowest20,
IF(AND(J58&gt;Calcs!L19,J58&lt;=Calcs!M19),Inline,
IF(AND(J58&gt;Calcs!M19,J58&lt;=Calcs!O19),Middle20,
IF(AND(J58&gt;Calcs!O19,J58&lt;=Calcs!P19),Inline,
IF(AND(J58&gt;Calcs!P19,J58&lt;=Calcs!Q19),Highest20,
IF(J58&gt;Calcs!Q19,Highest10,""))))))))</f>
        <v/>
      </c>
      <c r="M58" s="49"/>
      <c r="N58" s="157" t="str">
        <f>IFERROR(P16/'Optional - input raw data'!J21,Calcs!$A$75)</f>
        <v/>
      </c>
      <c r="P58" s="159" t="str">
        <f>IF(OR(P$14="",P$15="",P$16="",P$17="",N58=""),"",
IF(N58&lt;=Calcs!S19,Lowest10,
IF(AND(N58&gt;Calcs!S19,N58&lt;=Calcs!T19),Lowest20,
IF(AND(N58&gt;Calcs!T19,N58&lt;=Calcs!U19),Inline,
IF(AND(N58&gt;Calcs!U19,N58&lt;=Calcs!W19),Middle20,
IF(AND(N58&gt;Calcs!W19,N58&lt;=Calcs!X19),Inline,
IF(AND(N58&gt;Calcs!X19,N58&lt;=Calcs!Y19),Highest20,
IF(N58&gt;Calcs!Y19,Highest10,""))))))))</f>
        <v/>
      </c>
      <c r="Q58" s="49"/>
      <c r="R58" s="157" t="str">
        <f>IFERROR(T16/'Optional - input raw data'!L21,Calcs!$A$75)</f>
        <v/>
      </c>
      <c r="T58" s="159" t="str">
        <f>IF(OR(T$14="",T$15="",T$16="",T$17="",R58=""),"",
IF(R58&lt;=Calcs!AA19,Lowest10,
IF(AND(R58&gt;Calcs!AA19,R58&lt;=Calcs!AB19),Lowest20,
IF(AND(R58&gt;Calcs!AB19,R58&lt;=Calcs!AC19),Inline,
IF(AND(R58&gt;Calcs!AC19,R58&lt;=Calcs!AE19),Middle20,
IF(AND(R58&gt;Calcs!AE19,R58&lt;=Calcs!AF19),Inline,
IF(AND(R58&gt;Calcs!AF19,R58&lt;=Calcs!AG19),Highest20,
IF(R58&gt;Calcs!AG19,Highest10,""))))))))</f>
        <v/>
      </c>
      <c r="U58" s="49"/>
      <c r="V58" s="157" t="str">
        <f>IFERROR(X16/'Optional - input raw data'!N21,"")</f>
        <v/>
      </c>
      <c r="X58" s="159" t="str">
        <f>IF(OR(X$14="",X$15="",X$16="",X$17="",V58=""),"",
IF(V58&lt;=Calcs!AI19,Lowest10,
IF(AND(V58&gt;Calcs!AI19,V58&lt;=Calcs!AJ19),Lowest20,
IF(AND(V58&gt;Calcs!AJ19,V58&lt;=Calcs!AK19),Inline,
IF(AND(V58&gt;Calcs!AK19,V58&lt;=Calcs!AM19),Middle20,
IF(AND(V58&gt;Calcs!AM19,V58&lt;=Calcs!AN19),Inline,
IF(AND(V58&gt;Calcs!AN19,V58&lt;=Calcs!AO19),Highest20,
IF(V58&gt;Calcs!AO19,Highest10,""))))))))</f>
        <v/>
      </c>
      <c r="Y58" s="49"/>
      <c r="Z58" s="157" t="str">
        <f>IFERROR(AB16/'Optional - input raw data'!P21,"")</f>
        <v/>
      </c>
      <c r="AB58" s="159" t="str">
        <f>IF(OR(AB$14="",AB$15="",AB$16="",AB$17="",Z58=""),"",
IF(Z58&lt;=Calcs!AQ19,Lowest10,
IF(AND(Z58&gt;Calcs!AQ19,Z58&lt;=Calcs!AR19),Lowest20,
IF(AND(Z58&gt;Calcs!AR19,Z58&lt;=Calcs!AS19),Inline,
IF(AND(Z58&gt;Calcs!AS19,Z58&lt;=Calcs!AU19),Middle20,
IF(AND(Z58&gt;Calcs!AU19,Z58&lt;=Calcs!AV19),Inline,
IF(AND(Z58&gt;Calcs!AV19,Z58&lt;=Calcs!AW19),Highest20,
IF(Z58&gt;Calcs!AW19,Highest10,""))))))))</f>
        <v/>
      </c>
      <c r="AC58" s="49"/>
      <c r="AD58" s="157" t="str">
        <f>IFERROR(AF16/'Optional - input raw data'!R21,"")</f>
        <v/>
      </c>
      <c r="AF58" s="159" t="str">
        <f>IF(OR(AF$14="",AF$15="",AF$16="",AF$17="",AD58=""),"",
IF(AD58&lt;=Calcs!AY19,Lowest10,
IF(AND(AD58&gt;Calcs!AY19,AD58&lt;=Calcs!AZ19),Lowest20,
IF(AND(AD58&gt;Calcs!AZ19,AD58&lt;=Calcs!BA19),Inline,
IF(AND(AD58&gt;Calcs!BA19,AD58&lt;=Calcs!BC19),Middle20,
IF(AND(AD58&gt;Calcs!BC19,AD58&lt;=Calcs!BD19),Inline,
IF(AND(AD58&gt;Calcs!BD19,AD58&lt;=Calcs!BE19),Highest20,
IF(AD58&gt;Calcs!BE19,Highest10,""))))))))</f>
        <v/>
      </c>
      <c r="AG58" s="49"/>
      <c r="AH58" s="157" t="str">
        <f>IFERROR(AJ16/'Optional - input raw data'!T21,"")</f>
        <v/>
      </c>
      <c r="AJ58" s="159" t="str">
        <f>IF(OR(AJ$14="",AJ$15="",AJ$16="",AJ$17="",AH58=""),"",
IF(AH58&lt;=Calcs!BG19,Lowest10,
IF(AND(AH58&gt;Calcs!BG19,AH58&lt;=Calcs!BH19),Lowest20,
IF(AND(AH58&gt;Calcs!BH19,AH58&lt;=Calcs!BI19),Inline,
IF(AND(AH58&gt;Calcs!BI19,AH58&lt;=Calcs!BK19),Middle20,
IF(AND(AH58&gt;Calcs!BK19,AH58&lt;=Calcs!BL19),Inline,
IF(AND(AH58&gt;Calcs!BL19,AH58&lt;=Calcs!BM19),Highest20,
IF(AH58&gt;Calcs!BM19,Highest10,""))))))))</f>
        <v/>
      </c>
      <c r="AK58" s="49"/>
      <c r="AL58" s="157" t="str">
        <f>IFERROR(AN16/'Optional - input raw data'!V21,"")</f>
        <v/>
      </c>
      <c r="AN58" s="159" t="str">
        <f>IF(OR(AN$14="",AN$15="",AN$16="",AN$17="",AL58=""),"",
IF(AL58&lt;=Calcs!BO19,Lowest10,
IF(AND(AL58&gt;Calcs!BO19,AL58&lt;=Calcs!BP19),Lowest20,
IF(AND(AL58&gt;Calcs!BP19,AL58&lt;=Calcs!BQ19),Inline,
IF(AND(AL58&gt;Calcs!BQ19,AL58&lt;=Calcs!BS19),Middle20,
IF(AND(AL58&gt;Calcs!BS19,AL58&lt;=Calcs!BT19),Inline,
IF(AND(AL58&gt;Calcs!BT19,AL58&lt;=Calcs!BU19),Highest20,
IF(AL58&gt;Calcs!BU19,Highest10,""))))))))</f>
        <v/>
      </c>
      <c r="AO58" s="49"/>
      <c r="AP58" s="157" t="str">
        <f>IFERROR(AR16/'Optional - input raw data'!X21,"")</f>
        <v/>
      </c>
      <c r="AR58" s="159" t="str">
        <f>IF(OR(AR$14="",AR$15="",AR$16="",AR$17="",AP58=""),"",
IF(AP58&lt;=Calcs!BW19,Lowest10,
IF(AND(AP58&gt;Calcs!BW19,AP58&lt;=Calcs!BX19),Lowest20,
IF(AND(AP58&gt;Calcs!BX19,AP58&lt;=Calcs!BY19),Inline,
IF(AND(AP58&gt;Calcs!BY19,AP58&lt;=Calcs!CA19),Middle20,
IF(AND(AP58&gt;Calcs!CA19,AP58&lt;=Calcs!CB19),Inline,
IF(AND(AP58&gt;Calcs!CB19,AP58&lt;=Calcs!CC19),Highest20,
IF(AP58&gt;Calcs!CC19,Highest10,""))))))))</f>
        <v/>
      </c>
      <c r="AS58" s="49"/>
      <c r="AT58" s="157" t="str">
        <f>IFERROR(AV16/'Optional - input raw data'!Z21,"")</f>
        <v/>
      </c>
      <c r="AV58" s="159" t="str">
        <f>IF(OR(AV$14="",AV$15="",AV$16="",AV$17="",AT58=""),"",
IF(AT58&lt;=Calcs!CE19,Lowest10,
IF(AND(AT58&gt;Calcs!CE19,AT58&lt;=Calcs!CF19),Lowest20,
IF(AND(AT58&gt;Calcs!CF19,AT58&lt;=Calcs!CG19),Inline,
IF(AND(AT58&gt;Calcs!CG19,AT58&lt;=Calcs!CI19),Middle20,
IF(AND(AT58&gt;Calcs!CI19,AT58&lt;=Calcs!CJ19),Inline,
IF(AND(AT58&gt;Calcs!CJ19,AT58&lt;=Calcs!CK19),Highest20,
IF(AT58&gt;Calcs!CK19,Highest10,""))))))))</f>
        <v/>
      </c>
      <c r="AW58" s="49"/>
      <c r="AX58" s="157" t="str">
        <f>IFERROR(AZ16/'Optional - input raw data'!AB21,"")</f>
        <v/>
      </c>
      <c r="AZ58" s="159" t="str">
        <f>IF(OR(AZ$14="",AZ$15="",AZ$16="",AZ$17="",AX58=""),"",
IF(AX58&lt;=Calcs!CM19,Lowest10,
IF(AND(AX58&gt;Calcs!CM19,AX58&lt;=Calcs!CN19),Lowest20,
IF(AND(AX58&gt;Calcs!CN19,AX58&lt;=Calcs!CO19),Inline,
IF(AND(AX58&gt;Calcs!CO19,AX58&lt;=Calcs!CQ19),Middle20,
IF(AND(AX58&gt;Calcs!CQ19,AX58&lt;=Calcs!CR19),Inline,
IF(AND(AX58&gt;Calcs!CR19,AX58&lt;=Calcs!CS19),Highest20,
IF(AX58&gt;Calcs!CS19,Highest10,""))))))))</f>
        <v/>
      </c>
      <c r="BA58" s="49"/>
      <c r="BB58" s="157" t="str">
        <f>IFERROR(BD16/'Optional - input raw data'!AD21,"")</f>
        <v/>
      </c>
      <c r="BD58" s="159" t="str">
        <f>IF(OR(BD$14="",BD$15="",BD$16="",BD$17="",BB58=""),"",
IF(BB58&lt;=Calcs!CU19,Lowest10,
IF(AND(BB58&gt;Calcs!CU19,BB58&lt;=Calcs!CV19),Lowest20,
IF(AND(BB58&gt;Calcs!CV19,BB58&lt;=Calcs!CW19),Inline,
IF(AND(BB58&gt;Calcs!CW19,BB58&lt;=Calcs!CY19),Middle20,
IF(AND(BB58&gt;Calcs!CY19,BB58&lt;=Calcs!CZ19),Inline,
IF(AND(BB58&gt;Calcs!CZ19,BB58&lt;=Calcs!DA19),Highest20,
IF(BB58&gt;Calcs!DA19,Highest10,""))))))))</f>
        <v/>
      </c>
      <c r="BE58" s="49"/>
      <c r="BF58" s="157" t="str">
        <f>IFERROR(BH16/'Optional - input raw data'!AF21,"")</f>
        <v/>
      </c>
      <c r="BH58" s="159" t="str">
        <f>IF(OR(BH$14="",BH$15="",BH$16="",BH$17="",BF58=""),"",
IF(BF58&lt;=Calcs!DC19,Lowest10,
IF(AND(BF58&gt;Calcs!DC19,BF58&lt;=Calcs!DD19),Lowest20,
IF(AND(BF58&gt;Calcs!DD19,BF58&lt;=Calcs!DE19),Inline,
IF(AND(BF58&gt;Calcs!DE19,BF58&lt;=Calcs!DG19),Middle20,
IF(AND(BF58&gt;Calcs!DG19,BF58&lt;=Calcs!DH19),Inline,
IF(AND(BF58&gt;Calcs!DH19,BF58&lt;=Calcs!DI19),Highest20,
IF(BF58&gt;Calcs!DI19,Highest10,""))))))))</f>
        <v/>
      </c>
      <c r="BI58" s="49"/>
      <c r="BJ58" s="157" t="str">
        <f>IFERROR(BL16/'Optional - input raw data'!AH21,"")</f>
        <v/>
      </c>
      <c r="BL58" s="159" t="str">
        <f>IF(OR(BL$14="",BL$15="",BL$16="",BL$17="",BJ58=""),"",
IF(BJ58&lt;=Calcs!DK19,Lowest10,
IF(AND(BJ58&gt;Calcs!DK19,BJ58&lt;=Calcs!DL19),Lowest20,
IF(AND(BJ58&gt;Calcs!DL19,BJ58&lt;=Calcs!DM19),Inline,
IF(AND(BJ58&gt;Calcs!DM19,BJ58&lt;=Calcs!DO19),Middle20,
IF(AND(BJ58&gt;Calcs!DO19,BJ58&lt;=Calcs!DP19),Inline,
IF(AND(BJ58&gt;Calcs!DP19,BJ58&lt;=Calcs!DQ19),Highest20,
IF(BJ58&gt;Calcs!DQ19,Highest10,""))))))))</f>
        <v/>
      </c>
      <c r="BM58" s="49"/>
      <c r="BN58" s="157" t="str">
        <f>IFERROR(BP16/'Optional - input raw data'!AJ21,"")</f>
        <v/>
      </c>
      <c r="BP58" s="159" t="str">
        <f>IF(OR(BP$14="",BP$15="",BP$16="",BP$17="",BN58=""),"",
IF(BN58&lt;=Calcs!DS19,Lowest10,
IF(AND(BN58&gt;Calcs!DS19,BN58&lt;=Calcs!DT19),Lowest20,
IF(AND(BN58&gt;Calcs!DT19,BN58&lt;=Calcs!DU19),Inline,
IF(AND(BN58&gt;Calcs!DU19,BN58&lt;=Calcs!DW19),Middle20,
IF(AND(BN58&gt;Calcs!DW19,BN58&lt;=Calcs!DX19),Inline,
IF(AND(BN58&gt;Calcs!DX19,BN58&lt;=Calcs!DY19),Highest20,
IF(BN58&gt;Calcs!DY19,Highest10,""))))))))</f>
        <v/>
      </c>
      <c r="BQ58" s="49"/>
      <c r="BR58" s="157" t="str">
        <f>IFERROR(BT16/'Optional - input raw data'!AL21,"")</f>
        <v/>
      </c>
      <c r="BT58" s="159" t="str">
        <f>IF(OR(BT$14="",BT$15="",BT$16="",BT$17="",BR58=""),"",
IF(BR58&lt;=Calcs!EA19,Lowest10,
IF(AND(BR58&gt;Calcs!EA19,BR58&lt;=Calcs!EB19),Lowest20,
IF(AND(BR58&gt;Calcs!EB19,BR58&lt;=Calcs!EC19),Inline,
IF(AND(BR58&gt;Calcs!EC19,BR58&lt;=Calcs!EE19),Middle20,
IF(AND(BR58&gt;Calcs!EE19,BR58&lt;=Calcs!EF19),Inline,
IF(AND(BR58&gt;Calcs!EF19,BR58&lt;=Calcs!EG19),Highest20,
IF(BR58&gt;Calcs!EG19,Highest10,""))))))))</f>
        <v/>
      </c>
      <c r="BU58" s="49"/>
      <c r="BV58" s="157" t="str">
        <f>IFERROR(BX16/'Optional - input raw data'!AN21,"")</f>
        <v/>
      </c>
      <c r="BX58" s="159" t="str">
        <f>IF(OR(BX$14="",BX$15="",BX$16="",BX$17="",BV58=""),"",
IF(BV58&lt;=Calcs!EI19,Lowest10,
IF(AND(BV58&gt;Calcs!EI19,BV58&lt;=Calcs!EJ19),Lowest20,
IF(AND(BV58&gt;Calcs!EJ19,BV58&lt;=Calcs!EK19),Inline,
IF(AND(BV58&gt;Calcs!EK19,BV58&lt;=Calcs!EM19),Middle20,
IF(AND(BV58&gt;Calcs!EM19,BV58&lt;=Calcs!EN19),Inline,
IF(AND(BV58&gt;Calcs!EN19,BV58&lt;=Calcs!EO19),Highest20,
IF(BV58&gt;Calcs!EO19,Highest10,""))))))))</f>
        <v/>
      </c>
      <c r="BY58" s="49"/>
      <c r="BZ58" s="157" t="str">
        <f>IFERROR(CB16/'Optional - input raw data'!AP21,"")</f>
        <v/>
      </c>
      <c r="CB58" s="159" t="str">
        <f>IF(OR(CB$14="",CB$15="",CB$16="",CB$17="",BZ58=""),"",
IF(BZ58&lt;=Calcs!EQ19,Lowest10,
IF(AND(BZ58&gt;Calcs!EQ19,BZ58&lt;=Calcs!ER19),Lowest20,
IF(AND(BZ58&gt;Calcs!ER19,BZ58&lt;=Calcs!ES19),Inline,
IF(AND(BZ58&gt;Calcs!ES19,BZ58&lt;=Calcs!EU19),Middle20,
IF(AND(BZ58&gt;Calcs!EU19,BZ58&lt;=Calcs!EV19),Inline,
IF(AND(BZ58&gt;Calcs!EV19,BZ58&lt;=Calcs!EW19),Highest20,
IF(BZ58&gt;Calcs!EW19,Highest10,""))))))))</f>
        <v/>
      </c>
      <c r="CC58" s="49"/>
      <c r="CD58" s="157" t="str">
        <f>IFERROR(CF16/'Optional - input raw data'!AR21,Calcs!$A$75)</f>
        <v/>
      </c>
      <c r="CF58" s="159" t="str">
        <f>IF(OR(CF$14="",CF$15="",CF$16="",CF$17="",CD58=""),"",
IF(CD58&lt;=Calcs!EY19,Lowest10,
IF(AND(CD58&gt;Calcs!EY19,CD58&lt;=Calcs!EZ19),Lowest20,
IF(AND(CD58&gt;Calcs!EZ19,CD58&lt;=Calcs!FA19),Inline,
IF(AND(CD58&gt;Calcs!FA19,CD58&lt;=Calcs!FC19),Middle20,
IF(AND(CD58&gt;Calcs!FC19,CD58&lt;=Calcs!FD19),Inline,
IF(AND(CD58&gt;Calcs!FD19,CD58&lt;=Calcs!FE19),Highest20,
IF(CD58&gt;Calcs!FE19,Highest10,""))))))))</f>
        <v/>
      </c>
      <c r="CG58" s="7"/>
    </row>
    <row r="59" spans="2:85" ht="17.100000000000001" customHeight="1" x14ac:dyDescent="0.2">
      <c r="B59" s="6"/>
      <c r="C59" s="223" t="s">
        <v>35</v>
      </c>
      <c r="D59" s="219" t="s">
        <v>58</v>
      </c>
      <c r="E59" s="49"/>
      <c r="F59" s="158">
        <f>IFERROR(IF(H14=Calcs!$A$71,('Optional - input raw data'!F32/'Optional - input raw data'!F19),IF(OR(H14=Calcs!$A$72,H14=Calcs!$A$73,H14=Calcs!$A$74),('Optional - input raw data'!F29/('Optional - input raw data'!F28*'Optional - input raw data'!F19)),Calcs!$A$75)),Calcs!$A$75)</f>
        <v>0.75607757443321499</v>
      </c>
      <c r="H59" s="159" t="str">
        <f>IF(OR(H$14="",H$15="",H$16="",H$17="",F59=""),"",
IF(F59&lt;=0.7,Muchlower,
IF(AND(F59&gt;0.7,F59&lt;=0.74),Lower,
IF(AND(F59&gt;0.74,F59&lt;=0.8),Inline2,
IF(AND(F59&gt;0.8,F59&lt;=0.82),Higher,
IF(F59&gt;0.82,Muchhigher,""))))))</f>
        <v>Broadly in line with recommendations</v>
      </c>
      <c r="I59" s="49"/>
      <c r="J59" s="158" t="str">
        <f>IFERROR(IF(L14=Calcs!$A$71,('Optional - input raw data'!H32/'Optional - input raw data'!H19),IF(OR(L14=Calcs!$A$72,L14=Calcs!$A$73,L14=Calcs!$A$74),('Optional - input raw data'!H29/('Optional - input raw data'!H28*'Optional - input raw data'!H19)),Calcs!$A$75)),Calcs!$A$75)</f>
        <v/>
      </c>
      <c r="L59" s="159" t="str">
        <f>IF(OR(L$14="",L$15="",L$16="",L$17="",J59=""),"",
IF(J59&lt;=0.7,Muchlower,
IF(AND(J59&gt;0.7,J59&lt;=0.74),Lower,
IF(AND(J59&gt;0.74,J59&lt;=0.8),Inline2,
IF(AND(J59&gt;0.8,J59&lt;=0.82),Higher,
IF(J59&gt;0.82,Muchhigher,""))))))</f>
        <v/>
      </c>
      <c r="M59" s="49"/>
      <c r="N59" s="158" t="str">
        <f>IFERROR(IF(P14=Calcs!$A$71,('Optional - input raw data'!J32/'Optional - input raw data'!J19),IF(OR(P14=Calcs!$A$72,P14=Calcs!$A$73,P14=Calcs!$A$74),('Optional - input raw data'!J29/('Optional - input raw data'!J28*'Optional - input raw data'!J19)),Calcs!$A$75)),Calcs!$A$75)</f>
        <v/>
      </c>
      <c r="P59" s="159" t="str">
        <f>IF(OR(P$14="",P$15="",P$16="",P$17="",N59=""),"",
IF(N59&lt;=0.7,Muchlower,
IF(AND(N59&gt;0.7,N59&lt;=0.74),Lower,
IF(AND(N59&gt;0.74,N59&lt;=0.8),Inline2,
IF(AND(N59&gt;0.8,N59&lt;=0.82),Higher,
IF(N59&gt;0.82,Muchhigher,""))))))</f>
        <v/>
      </c>
      <c r="Q59" s="49"/>
      <c r="R59" s="158" t="str">
        <f>IFERROR(IF(T14=Calcs!$A$71,('Optional - input raw data'!L32/'Optional - input raw data'!L19),IF(OR(T14=Calcs!$A$72,T14=Calcs!$A$73,T14=Calcs!$A$74),('Optional - input raw data'!L29/('Optional - input raw data'!L28*'Optional - input raw data'!L19)),Calcs!$A$75)),Calcs!$A$75)</f>
        <v/>
      </c>
      <c r="T59" s="159" t="str">
        <f>IF(OR(T$14="",T$15="",T$16="",T$17="",R59=""),"",
IF(R59&lt;=0.7,Muchlower,
IF(AND(R59&gt;0.7,R59&lt;=0.74),Lower,
IF(AND(R59&gt;0.74,R59&lt;=0.8),Inline2,
IF(AND(R59&gt;0.8,R59&lt;=0.82),Higher,
IF(R59&gt;0.82,Muchhigher,""))))))</f>
        <v/>
      </c>
      <c r="U59" s="49"/>
      <c r="V59" s="158" t="str">
        <f>IFERROR(IF(X14="Primary",('Optional - input raw data'!N32/'Optional - input raw data'!N19),IF(OR(X14="Secondary with sixth form",X14="Secondary without sixth form",X14="All-through"),('Optional - input raw data'!N29/('Optional - input raw data'!N28*'Optional - input raw data'!N19)),"")),"")</f>
        <v/>
      </c>
      <c r="X59" s="159" t="str">
        <f>IF(OR(X$14="",X$15="",X$16="",X$17="",V59=""),"",
IF(V59&lt;=0.7,Muchlower,
IF(AND(V59&gt;0.7,V59&lt;=0.74),Lower,
IF(AND(V59&gt;0.74,V59&lt;=0.8),Inline2,
IF(AND(V59&gt;0.8,V59&lt;=0.82),Higher,
IF(V59&gt;0.82,Muchhigher,""))))))</f>
        <v/>
      </c>
      <c r="Y59" s="49"/>
      <c r="Z59" s="158" t="str">
        <f>IFERROR(IF(AB14="Primary",('Optional - input raw data'!P32/'Optional - input raw data'!P19),IF(OR(AB14="Secondary with sixth form",AB14="Secondary without sixth form",AB14="All-through"),('Optional - input raw data'!P29/('Optional - input raw data'!P28*'Optional - input raw data'!P19)),"")),"")</f>
        <v/>
      </c>
      <c r="AB59" s="159" t="str">
        <f>IF(OR(AB$14="",AB$15="",AB$16="",AB$17="",Z59=""),"",
IF(Z59&lt;=0.7,Muchlower,
IF(AND(Z59&gt;0.7,Z59&lt;=0.74),Lower,
IF(AND(Z59&gt;0.74,Z59&lt;=0.8),Inline2,
IF(AND(Z59&gt;0.8,Z59&lt;=0.82),Higher,
IF(Z59&gt;0.82,Muchhigher,""))))))</f>
        <v/>
      </c>
      <c r="AC59" s="49"/>
      <c r="AD59" s="158" t="str">
        <f>IFERROR(IF(AF14="Primary",('Optional - input raw data'!R32/'Optional - input raw data'!R19),IF(OR(AF14="Secondary with sixth form",AF14="Secondary without sixth form",AF14="All-through"),('Optional - input raw data'!R29/('Optional - input raw data'!R28*'Optional - input raw data'!R19)),"")),"")</f>
        <v/>
      </c>
      <c r="AF59" s="159" t="str">
        <f>IF(OR(AF$14="",AF$15="",AF$16="",AF$17="",AD59=""),"",
IF(AD59&lt;=0.7,Muchlower,
IF(AND(AD59&gt;0.7,AD59&lt;=0.74),Lower,
IF(AND(AD59&gt;0.74,AD59&lt;=0.8),Inline2,
IF(AND(AD59&gt;0.8,AD59&lt;=0.82),Higher,
IF(AD59&gt;0.82,Muchhigher,""))))))</f>
        <v/>
      </c>
      <c r="AG59" s="49"/>
      <c r="AH59" s="158" t="str">
        <f>IFERROR(IF(AJ14="Primary",('Optional - input raw data'!T32/'Optional - input raw data'!T19),IF(OR(AJ14="Secondary with sixth form",AJ14="Secondary without sixth form",AJ14="All-through"),('Optional - input raw data'!T29/('Optional - input raw data'!T28*'Optional - input raw data'!T19)),"")),"")</f>
        <v/>
      </c>
      <c r="AJ59" s="159" t="str">
        <f>IF(OR(AJ$14="",AJ$15="",AJ$16="",AJ$17="",AH59=""),"",
IF(AH59&lt;=0.7,Muchlower,
IF(AND(AH59&gt;0.7,AH59&lt;=0.74),Lower,
IF(AND(AH59&gt;0.74,AH59&lt;=0.8),Inline2,
IF(AND(AH59&gt;0.8,AH59&lt;=0.82),Higher,
IF(AH59&gt;0.82,Muchhigher,""))))))</f>
        <v/>
      </c>
      <c r="AK59" s="49"/>
      <c r="AL59" s="158" t="str">
        <f>IFERROR(IF(AN14="Primary",('Optional - input raw data'!V32/'Optional - input raw data'!V19),IF(OR(AN14="Secondary with sixth form",AN14="Secondary without sixth form",AN14="All-through"),('Optional - input raw data'!V29/('Optional - input raw data'!V28*'Optional - input raw data'!V19)),"")),"")</f>
        <v/>
      </c>
      <c r="AN59" s="159" t="str">
        <f>IF(OR(AN$14="",AN$15="",AN$16="",AN$17="",AL59=""),"",
IF(AL59&lt;=0.7,Muchlower,
IF(AND(AL59&gt;0.7,AL59&lt;=0.74),Lower,
IF(AND(AL59&gt;0.74,AL59&lt;=0.8),Inline2,
IF(AND(AL59&gt;0.8,AL59&lt;=0.82),Higher,
IF(AL59&gt;0.82,Muchhigher,""))))))</f>
        <v/>
      </c>
      <c r="AO59" s="49"/>
      <c r="AP59" s="158" t="str">
        <f>IFERROR(IF(AR14="Primary",('Optional - input raw data'!X32/'Optional - input raw data'!X19),IF(OR(AR14="Secondary with sixth form",AR14="Secondary without sixth form",AR14="All-through"),('Optional - input raw data'!X29/('Optional - input raw data'!X28*'Optional - input raw data'!X19)),"")),"")</f>
        <v/>
      </c>
      <c r="AR59" s="159" t="str">
        <f>IF(OR(AR$14="",AR$15="",AR$16="",AR$17="",AP59=""),"",
IF(AP59&lt;=0.7,Muchlower,
IF(AND(AP59&gt;0.7,AP59&lt;=0.74),Lower,
IF(AND(AP59&gt;0.74,AP59&lt;=0.8),Inline2,
IF(AND(AP59&gt;0.8,AP59&lt;=0.82),Higher,
IF(AP59&gt;0.82,Muchhigher,""))))))</f>
        <v/>
      </c>
      <c r="AS59" s="49"/>
      <c r="AT59" s="158" t="str">
        <f>IFERROR(IF(AV14="Primary",('Optional - input raw data'!Z32/'Optional - input raw data'!Z19),IF(OR(AV14="Secondary with sixth form",AV14="Secondary without sixth form",AV14="All-through"),('Optional - input raw data'!Z29/('Optional - input raw data'!Z28*'Optional - input raw data'!Z19)),"")),"")</f>
        <v/>
      </c>
      <c r="AV59" s="159" t="str">
        <f>IF(OR(AV$14="",AV$15="",AV$16="",AV$17="",AT59=""),"",
IF(AT59&lt;=0.7,Muchlower,
IF(AND(AT59&gt;0.7,AT59&lt;=0.74),Lower,
IF(AND(AT59&gt;0.74,AT59&lt;=0.8),Inline2,
IF(AND(AT59&gt;0.8,AT59&lt;=0.82),Higher,
IF(AT59&gt;0.82,Muchhigher,""))))))</f>
        <v/>
      </c>
      <c r="AW59" s="49"/>
      <c r="AX59" s="158" t="str">
        <f>IFERROR(IF(AZ14="Primary",('Optional - input raw data'!AB32/'Optional - input raw data'!AB19),IF(OR(AZ14="Secondary with sixth form",AZ14="Secondary without sixth form",AZ14="All-through"),('Optional - input raw data'!AB29/('Optional - input raw data'!AB28*'Optional - input raw data'!AB19)),"")),"")</f>
        <v/>
      </c>
      <c r="AZ59" s="159" t="str">
        <f>IF(OR(AZ$14="",AZ$15="",AZ$16="",AZ$17="",AX59=""),"",
IF(AX59&lt;=0.7,Muchlower,
IF(AND(AX59&gt;0.7,AX59&lt;=0.74),Lower,
IF(AND(AX59&gt;0.74,AX59&lt;=0.8),Inline2,
IF(AND(AX59&gt;0.8,AX59&lt;=0.82),Higher,
IF(AX59&gt;0.82,Muchhigher,""))))))</f>
        <v/>
      </c>
      <c r="BA59" s="49"/>
      <c r="BB59" s="158" t="str">
        <f>IFERROR(IF(BD14="Primary",('Optional - input raw data'!AD32/'Optional - input raw data'!AD19),IF(OR(BD14="Secondary with sixth form",BD14="Secondary without sixth form",BD14="All-through"),('Optional - input raw data'!AD29/('Optional - input raw data'!AD28*'Optional - input raw data'!AD19)),"")),"")</f>
        <v/>
      </c>
      <c r="BD59" s="159" t="str">
        <f>IF(OR(BD$14="",BD$15="",BD$16="",BD$17="",BB59=""),"",
IF(BB59&lt;=0.7,Muchlower,
IF(AND(BB59&gt;0.7,BB59&lt;=0.74),Lower,
IF(AND(BB59&gt;0.74,BB59&lt;=0.8),Inline2,
IF(AND(BB59&gt;0.8,BB59&lt;=0.82),Higher,
IF(BB59&gt;0.82,Muchhigher,""))))))</f>
        <v/>
      </c>
      <c r="BE59" s="49"/>
      <c r="BF59" s="158" t="str">
        <f>IFERROR(IF(BH14="Primary",('Optional - input raw data'!AF32/'Optional - input raw data'!AF19),IF(OR(BH14="Secondary with sixth form",BH14="Secondary without sixth form",BH14="All-through"),('Optional - input raw data'!AF29/('Optional - input raw data'!AF28*'Optional - input raw data'!AF19)),"")),"")</f>
        <v/>
      </c>
      <c r="BH59" s="159" t="str">
        <f>IF(OR(BH$14="",BH$15="",BH$16="",BH$17="",BF59=""),"",
IF(BF59&lt;=0.7,Muchlower,
IF(AND(BF59&gt;0.7,BF59&lt;=0.74),Lower,
IF(AND(BF59&gt;0.74,BF59&lt;=0.8),Inline2,
IF(AND(BF59&gt;0.8,BF59&lt;=0.82),Higher,
IF(BF59&gt;0.82,Muchhigher,""))))))</f>
        <v/>
      </c>
      <c r="BI59" s="49"/>
      <c r="BJ59" s="158" t="str">
        <f>IFERROR(IF(BL14="Primary",('Optional - input raw data'!AH32/'Optional - input raw data'!AH19),IF(OR(BL14="Secondary with sixth form",BL14="Secondary without sixth form",BL14="All-through"),('Optional - input raw data'!AH29/('Optional - input raw data'!AH28*'Optional - input raw data'!AH19)),"")),"")</f>
        <v/>
      </c>
      <c r="BL59" s="159" t="str">
        <f>IF(OR(BL$14="",BL$15="",BL$16="",BL$17="",BJ59=""),"",
IF(BJ59&lt;=0.7,Muchlower,
IF(AND(BJ59&gt;0.7,BJ59&lt;=0.74),Lower,
IF(AND(BJ59&gt;0.74,BJ59&lt;=0.8),Inline2,
IF(AND(BJ59&gt;0.8,BJ59&lt;=0.82),Higher,
IF(BJ59&gt;0.82,Muchhigher,""))))))</f>
        <v/>
      </c>
      <c r="BM59" s="49"/>
      <c r="BN59" s="158" t="str">
        <f>IFERROR(IF(BP14="Primary",('Optional - input raw data'!AJ32/'Optional - input raw data'!AJ19),IF(OR(BP14="Secondary with sixth form",BP14="Secondary without sixth form",BP14="All-through"),('Optional - input raw data'!AJ29/('Optional - input raw data'!AJ28*'Optional - input raw data'!AJ19)),"")),"")</f>
        <v/>
      </c>
      <c r="BP59" s="159" t="str">
        <f>IF(OR(BP$14="",BP$15="",BP$16="",BP$17="",BN59=""),"",
IF(BN59&lt;=0.7,Muchlower,
IF(AND(BN59&gt;0.7,BN59&lt;=0.74),Lower,
IF(AND(BN59&gt;0.74,BN59&lt;=0.8),Inline2,
IF(AND(BN59&gt;0.8,BN59&lt;=0.82),Higher,
IF(BN59&gt;0.82,Muchhigher,""))))))</f>
        <v/>
      </c>
      <c r="BQ59" s="49"/>
      <c r="BR59" s="158" t="str">
        <f>IFERROR(IF(BT14="Primary",('Optional - input raw data'!AL32/'Optional - input raw data'!AL19),IF(OR(BT14="Secondary with sixth form",BT14="Secondary without sixth form",BT14="All-through"),('Optional - input raw data'!AL29/('Optional - input raw data'!AL28*'Optional - input raw data'!AL19)),"")),"")</f>
        <v/>
      </c>
      <c r="BT59" s="159" t="str">
        <f>IF(OR(BT$14="",BT$15="",BT$16="",BT$17="",BR59=""),"",
IF(BR59&lt;=0.7,Muchlower,
IF(AND(BR59&gt;0.7,BR59&lt;=0.74),Lower,
IF(AND(BR59&gt;0.74,BR59&lt;=0.8),Inline2,
IF(AND(BR59&gt;0.8,BR59&lt;=0.82),Higher,
IF(BR59&gt;0.82,Muchhigher,""))))))</f>
        <v/>
      </c>
      <c r="BU59" s="49"/>
      <c r="BV59" s="158" t="str">
        <f>IFERROR(IF(BX14="Primary",('Optional - input raw data'!AN32/'Optional - input raw data'!AN19),IF(OR(BX14="Secondary with sixth form",BX14="Secondary without sixth form",BX14="All-through"),('Optional - input raw data'!AN29/('Optional - input raw data'!AN28*'Optional - input raw data'!AN19)),"")),"")</f>
        <v/>
      </c>
      <c r="BX59" s="159" t="str">
        <f>IF(OR(BX$14="",BX$15="",BX$16="",BX$17="",BV59=""),"",
IF(BV59&lt;=0.7,Muchlower,
IF(AND(BV59&gt;0.7,BV59&lt;=0.74),Lower,
IF(AND(BV59&gt;0.74,BV59&lt;=0.8),Inline2,
IF(AND(BV59&gt;0.8,BV59&lt;=0.82),Higher,
IF(BV59&gt;0.82,Muchhigher,""))))))</f>
        <v/>
      </c>
      <c r="BY59" s="49"/>
      <c r="BZ59" s="158" t="str">
        <f>IFERROR(IF(CB14="Primary",('Optional - input raw data'!AP32/'Optional - input raw data'!AP19),IF(OR(CB14="Secondary with sixth form",CB14="Secondary without sixth form",CB14="All-through"),('Optional - input raw data'!AP29/('Optional - input raw data'!AP28*'Optional - input raw data'!AP19)),"")),"")</f>
        <v/>
      </c>
      <c r="CB59" s="159" t="str">
        <f>IF(OR(CB$14="",CB$15="",CB$16="",CB$17="",BZ59=""),"",
IF(BZ59&lt;=0.7,Muchlower,
IF(AND(BZ59&gt;0.7,BZ59&lt;=0.74),Lower,
IF(AND(BZ59&gt;0.74,BZ59&lt;=0.8),Inline2,
IF(AND(BZ59&gt;0.8,BZ59&lt;=0.82),Higher,
IF(BZ59&gt;0.82,Muchhigher,""))))))</f>
        <v/>
      </c>
      <c r="CC59" s="49"/>
      <c r="CD59" s="158" t="str">
        <f>IFERROR(IF(CF14=Calcs!$A$71,('Optional - input raw data'!AR32/'Optional - input raw data'!AR19),IF(OR(CF14=Calcs!$A$72,CF14=Calcs!$A$73,CF14=Calcs!$A$74),('Optional - input raw data'!AR29/('Optional - input raw data'!AR28*'Optional - input raw data'!AR19)),Calcs!$A$75)),Calcs!$A$75)</f>
        <v/>
      </c>
      <c r="CF59" s="159" t="str">
        <f>IF(OR(CF$14="",CF$15="",CF$16="",CF$17="",CD59=""),"",
IF(CD59&lt;=0.7,Muchlower,
IF(AND(CD59&gt;0.7,CD59&lt;=0.74),Lower,
IF(AND(CD59&gt;0.74,CD59&lt;=0.8),Inline2,
IF(AND(CD59&gt;0.8,CD59&lt;=0.82),Higher,
IF(CD59&gt;0.82,Muchhigher,""))))))</f>
        <v/>
      </c>
      <c r="CG59" s="7"/>
    </row>
    <row r="60" spans="2:85" ht="17.100000000000001" customHeight="1" x14ac:dyDescent="0.2">
      <c r="B60" s="6"/>
      <c r="C60" s="223" t="s">
        <v>36</v>
      </c>
      <c r="D60" s="219" t="s">
        <v>58</v>
      </c>
      <c r="E60" s="49"/>
      <c r="F60" s="155"/>
      <c r="H60" s="159" t="str">
        <f>IF(OR(H$14="",H$15="",H$16="",H$17="",F60=""),"",
IF(F60&lt;=-0.1,High,
IF(AND(F60&gt;-0.1,F60&lt;=-0.02),Medium,
IF(F60&gt;=-0.02,Low,""))))</f>
        <v/>
      </c>
      <c r="I60" s="49"/>
      <c r="J60" s="155"/>
      <c r="L60" s="159" t="str">
        <f>IF(OR(L$14="",L$15="",L$16="",L$17="",J60=""),"",
IF(J60&lt;=-0.1,High,
IF(AND(J60&gt;-0.1,J60&lt;=-0.02),Medium,
IF(J60&gt;=-0.02,Low,""))))</f>
        <v/>
      </c>
      <c r="M60" s="49"/>
      <c r="N60" s="155"/>
      <c r="P60" s="159" t="str">
        <f>IF(OR(P$14="",P$15="",P$16="",P$17="",N60=""),"",
IF(N60&lt;=-0.1,High,
IF(AND(N60&gt;-0.1,N60&lt;=-0.02),Medium,
IF(N60&gt;=-0.02,Low,""))))</f>
        <v/>
      </c>
      <c r="Q60" s="49"/>
      <c r="R60" s="155"/>
      <c r="T60" s="159" t="str">
        <f>IF(OR(T$14="",T$15="",T$16="",T$17="",R60=""),"",
IF(R60&lt;=-0.1,High,
IF(AND(R60&gt;-0.1,R60&lt;=-0.02),Medium,
IF(R60&gt;=-0.02,Low,""))))</f>
        <v/>
      </c>
      <c r="U60" s="49"/>
      <c r="V60" s="155"/>
      <c r="X60" s="159" t="str">
        <f>IF(OR(X$14="",X$15="",X$16="",X$17="",V60=""),"",
IF(V60&lt;=-0.1,High,
IF(AND(V60&gt;-0.1,V60&lt;=-0.02),Medium,
IF(V60&gt;=-0.02,Low,""))))</f>
        <v/>
      </c>
      <c r="Y60" s="49"/>
      <c r="Z60" s="155"/>
      <c r="AB60" s="159" t="str">
        <f>IF(OR(AB$14="",AB$15="",AB$16="",AB$17="",Z60=""),"",
IF(Z60&lt;=-0.1,High,
IF(AND(Z60&gt;-0.1,Z60&lt;=-0.02),Medium,
IF(Z60&gt;=-0.02,Low,""))))</f>
        <v/>
      </c>
      <c r="AC60" s="49"/>
      <c r="AD60" s="155"/>
      <c r="AF60" s="159" t="str">
        <f>IF(OR(AF$14="",AF$15="",AF$16="",AF$17="",AD60=""),"",
IF(AD60&lt;=-0.1,High,
IF(AND(AD60&gt;-0.1,AD60&lt;=-0.02),Medium,
IF(AD60&gt;=-0.02,Low,""))))</f>
        <v/>
      </c>
      <c r="AG60" s="49"/>
      <c r="AH60" s="155"/>
      <c r="AJ60" s="159" t="str">
        <f>IF(OR(AJ$14="",AJ$15="",AJ$16="",AJ$17="",AH60=""),"",
IF(AH60&lt;=-0.1,High,
IF(AND(AH60&gt;-0.1,AH60&lt;=-0.02),Medium,
IF(AH60&gt;=-0.02,Low,""))))</f>
        <v/>
      </c>
      <c r="AK60" s="49"/>
      <c r="AL60" s="155"/>
      <c r="AN60" s="159" t="str">
        <f>IF(OR(AN$14="",AN$15="",AN$16="",AN$17="",AL60=""),"",
IF(AL60&lt;=-0.1,High,
IF(AND(AL60&gt;-0.1,AL60&lt;=-0.02),Medium,
IF(AL60&gt;=-0.02,Low,""))))</f>
        <v/>
      </c>
      <c r="AO60" s="49"/>
      <c r="AP60" s="155"/>
      <c r="AR60" s="159" t="str">
        <f>IF(OR(AR$14="",AR$15="",AR$16="",AR$17="",AP60=""),"",
IF(AP60&lt;=-0.1,High,
IF(AND(AP60&gt;-0.1,AP60&lt;=-0.02),Medium,
IF(AP60&gt;=-0.02,Low,""))))</f>
        <v/>
      </c>
      <c r="AS60" s="49"/>
      <c r="AT60" s="155"/>
      <c r="AV60" s="159" t="str">
        <f>IF(OR(AV$14="",AV$15="",AV$16="",AV$17="",AT60=""),"",
IF(AT60&lt;=-0.1,High,
IF(AND(AT60&gt;-0.1,AT60&lt;=-0.02),Medium,
IF(AT60&gt;=-0.02,Low,""))))</f>
        <v/>
      </c>
      <c r="AW60" s="49"/>
      <c r="AX60" s="155"/>
      <c r="AZ60" s="159" t="str">
        <f>IF(OR(AZ$14="",AZ$15="",AZ$16="",AZ$17="",AX60=""),"",
IF(AX60&lt;=-0.1,High,
IF(AND(AX60&gt;-0.1,AX60&lt;=-0.02),Medium,
IF(AX60&gt;=-0.02,Low,""))))</f>
        <v/>
      </c>
      <c r="BA60" s="49"/>
      <c r="BB60" s="155"/>
      <c r="BD60" s="159" t="str">
        <f>IF(OR(BD$14="",BD$15="",BD$16="",BD$17="",BB60=""),"",
IF(BB60&lt;=-0.1,High,
IF(AND(BB60&gt;-0.1,BB60&lt;=-0.02),Medium,
IF(BB60&gt;=-0.02,Low,""))))</f>
        <v/>
      </c>
      <c r="BE60" s="49"/>
      <c r="BF60" s="155"/>
      <c r="BH60" s="159" t="str">
        <f>IF(OR(BH$14="",BH$15="",BH$16="",BH$17="",BF60=""),"",
IF(BF60&lt;=-0.1,High,
IF(AND(BF60&gt;-0.1,BF60&lt;=-0.02),Medium,
IF(BF60&gt;=-0.02,Low,""))))</f>
        <v/>
      </c>
      <c r="BI60" s="49"/>
      <c r="BJ60" s="155"/>
      <c r="BL60" s="159" t="str">
        <f>IF(OR(BL$14="",BL$15="",BL$16="",BL$17="",BJ60=""),"",
IF(BJ60&lt;=-0.1,High,
IF(AND(BJ60&gt;-0.1,BJ60&lt;=-0.02),Medium,
IF(BJ60&gt;=-0.02,Low,""))))</f>
        <v/>
      </c>
      <c r="BM60" s="49"/>
      <c r="BN60" s="155"/>
      <c r="BP60" s="159" t="str">
        <f>IF(OR(BP$14="",BP$15="",BP$16="",BP$17="",BN60=""),"",
IF(BN60&lt;=-0.1,High,
IF(AND(BN60&gt;-0.1,BN60&lt;=-0.02),Medium,
IF(BN60&gt;=-0.02,Low,""))))</f>
        <v/>
      </c>
      <c r="BQ60" s="49"/>
      <c r="BR60" s="155"/>
      <c r="BT60" s="159" t="str">
        <f>IF(OR(BT$14="",BT$15="",BT$16="",BT$17="",BR60=""),"",
IF(BR60&lt;=-0.1,High,
IF(AND(BR60&gt;-0.1,BR60&lt;=-0.02),Medium,
IF(BR60&gt;=-0.02,Low,""))))</f>
        <v/>
      </c>
      <c r="BU60" s="49"/>
      <c r="BV60" s="155"/>
      <c r="BX60" s="159" t="str">
        <f>IF(OR(BX$14="",BX$15="",BX$16="",BX$17="",BV60=""),"",
IF(BV60&lt;=-0.1,High,
IF(AND(BV60&gt;-0.1,BV60&lt;=-0.02),Medium,
IF(BV60&gt;=-0.02,Low,""))))</f>
        <v/>
      </c>
      <c r="BY60" s="49"/>
      <c r="BZ60" s="155"/>
      <c r="CB60" s="159" t="str">
        <f>IF(OR(CB$14="",CB$15="",CB$16="",CB$17="",BZ60=""),"",
IF(BZ60&lt;=-0.1,High,
IF(AND(BZ60&gt;-0.1,BZ60&lt;=-0.02),Medium,
IF(BZ60&gt;=-0.02,Low,""))))</f>
        <v/>
      </c>
      <c r="CC60" s="49"/>
      <c r="CD60" s="155"/>
      <c r="CF60" s="159" t="str">
        <f>IF(OR(CF$14="",CF$15="",CF$16="",CF$17="",CD60=""),"",
IF(CD60&lt;=-0.1,High,
IF(AND(CD60&gt;-0.1,CD60&lt;=-0.02),Medium,
IF(CD60&gt;=-0.02,Low,""))))</f>
        <v/>
      </c>
      <c r="CG60" s="7"/>
    </row>
    <row r="61" spans="2:85" ht="17.100000000000001" customHeight="1" x14ac:dyDescent="0.2">
      <c r="B61" s="6"/>
      <c r="C61" s="223" t="s">
        <v>0</v>
      </c>
      <c r="D61" s="219" t="s">
        <v>58</v>
      </c>
      <c r="E61" s="49"/>
      <c r="F61" s="157"/>
      <c r="H61" s="159" t="str">
        <f>IF(OR(H$14="",H$15="",H$16="",H$17="",F61=""),"",
IF(F61&lt;=Calcs!C20,Lowest10,
IF(AND(F61&gt;Calcs!C20,F61&lt;=Calcs!D20),Lowest20,
IF(AND(F61&gt;Calcs!D20,F61&lt;=Calcs!E20),Inline,
IF(AND(F61&gt;Calcs!E20,F61&lt;=Calcs!G20),Middle20,
IF(AND(F61&gt;Calcs!G20,F61&lt;=Calcs!H20),Inline,
IF(AND(F61&gt;Calcs!H20,F61&lt;=Calcs!I20),Highest20,
IF(F61&gt;Calcs!I20,Highest10,""))))))))</f>
        <v/>
      </c>
      <c r="I61" s="49"/>
      <c r="J61" s="157"/>
      <c r="L61" s="159" t="str">
        <f>IF(OR(L$14="",L$15="",L$16="",L$17="",J61=""),"",
IF(J61&lt;=Calcs!K20,Lowest10,
IF(AND(J61&gt;Calcs!K20,J61&lt;=Calcs!L20),Lowest20,
IF(AND(J61&gt;Calcs!L20,J61&lt;=Calcs!M20),Inline,
IF(AND(J61&gt;Calcs!M20,J61&lt;=Calcs!O20),Middle20,
IF(AND(J61&gt;Calcs!O20,J61&lt;=Calcs!P20),Inline,
IF(AND(J61&gt;Calcs!P20,J61&lt;=Calcs!Q20),Highest20,
IF(J61&gt;Calcs!Q20,Highest10,""))))))))</f>
        <v/>
      </c>
      <c r="M61" s="49"/>
      <c r="N61" s="157"/>
      <c r="P61" s="159" t="str">
        <f>IF(OR(P$14="",P$15="",P$16="",P$17="",N61=""),"",
IF(N61&lt;=Calcs!S20,Lowest10,
IF(AND(N61&gt;Calcs!S20,N61&lt;=Calcs!T20),Lowest20,
IF(AND(N61&gt;Calcs!T20,N61&lt;=Calcs!U20),Inline,
IF(AND(N61&gt;Calcs!U20,N61&lt;=Calcs!W20),Middle20,
IF(AND(N61&gt;Calcs!W20,N61&lt;=Calcs!X20),Inline,
IF(AND(N61&gt;Calcs!X20,N61&lt;=Calcs!Y20),Highest20,
IF(N61&gt;Calcs!Y20,Highest10,""))))))))</f>
        <v/>
      </c>
      <c r="Q61" s="49"/>
      <c r="R61" s="157"/>
      <c r="T61" s="159" t="str">
        <f>IF(OR(T$14="",T$15="",T$16="",T$17="",R61=""),"",
IF(R61&lt;=Calcs!AA20,Lowest10,
IF(AND(R61&gt;Calcs!AA20,R61&lt;=Calcs!AB20),Lowest20,
IF(AND(R61&gt;Calcs!AB20,R61&lt;=Calcs!AC20),Inline,
IF(AND(R61&gt;Calcs!AC20,R61&lt;=Calcs!AE20),Middle20,
IF(AND(R61&gt;Calcs!AE20,R61&lt;=Calcs!AF20),Inline,
IF(AND(R61&gt;Calcs!AF20,R61&lt;=Calcs!AG20),Highest20,
IF(R61&gt;Calcs!AG20,Highest10,""))))))))</f>
        <v/>
      </c>
      <c r="U61" s="49"/>
      <c r="V61" s="157"/>
      <c r="X61" s="159" t="str">
        <f>IF(OR(X$14="",X$15="",X$16="",X$17="",V61=""),"",
IF(V61&lt;=Calcs!AI20,Lowest10,
IF(AND(V61&gt;Calcs!AI20,V61&lt;=Calcs!AJ20),Lowest20,
IF(AND(V61&gt;Calcs!AJ20,V61&lt;=Calcs!AK20),Inline,
IF(AND(V61&gt;Calcs!AK20,V61&lt;=Calcs!AM20),Middle20,
IF(AND(V61&gt;Calcs!AM20,V61&lt;=Calcs!AN20),Inline,
IF(AND(V61&gt;Calcs!AN20,V61&lt;=Calcs!AO20),Highest20,
IF(V61&gt;Calcs!AO20,Highest10,""))))))))</f>
        <v/>
      </c>
      <c r="Y61" s="49"/>
      <c r="Z61" s="157"/>
      <c r="AB61" s="159" t="str">
        <f>IF(OR(AB$14="",AB$15="",AB$16="",AB$17="",Z61=""),"",
IF(Z61&lt;=Calcs!AQ20,Lowest10,
IF(AND(Z61&gt;Calcs!AQ20,Z61&lt;=Calcs!AR20),Lowest20,
IF(AND(Z61&gt;Calcs!AR20,Z61&lt;=Calcs!AS20),Inline,
IF(AND(Z61&gt;Calcs!AS20,Z61&lt;=Calcs!AU20),Middle20,
IF(AND(Z61&gt;Calcs!AU20,Z61&lt;=Calcs!AV20),Inline,
IF(AND(Z61&gt;Calcs!AV20,Z61&lt;=Calcs!AW20),Highest20,
IF(Z61&gt;Calcs!AW20,Highest10,""))))))))</f>
        <v/>
      </c>
      <c r="AC61" s="49"/>
      <c r="AD61" s="157"/>
      <c r="AF61" s="159" t="str">
        <f>IF(OR(AF$14="",AF$15="",AF$16="",AF$17="",AD61=""),"",
IF(AD61&lt;=Calcs!AY20,Lowest10,
IF(AND(AD61&gt;Calcs!AY20,AD61&lt;=Calcs!AZ20),Lowest20,
IF(AND(AD61&gt;Calcs!AZ20,AD61&lt;=Calcs!BA20),Inline,
IF(AND(AD61&gt;Calcs!BA20,AD61&lt;=Calcs!BC20),Middle20,
IF(AND(AD61&gt;Calcs!BC20,AD61&lt;=Calcs!BD20),Inline,
IF(AND(AD61&gt;Calcs!BD20,AD61&lt;=Calcs!BE20),Highest20,
IF(AD61&gt;Calcs!BE20,Highest10,""))))))))</f>
        <v/>
      </c>
      <c r="AG61" s="49"/>
      <c r="AH61" s="157"/>
      <c r="AJ61" s="159" t="str">
        <f>IF(OR(AJ$14="",AJ$15="",AJ$16="",AJ$17="",AH61=""),"",
IF(AH61&lt;=Calcs!BG20,Lowest10,
IF(AND(AH61&gt;Calcs!BG20,AH61&lt;=Calcs!BH20),Lowest20,
IF(AND(AH61&gt;Calcs!BH20,AH61&lt;=Calcs!BI20),Inline,
IF(AND(AH61&gt;Calcs!BI20,AH61&lt;=Calcs!BK20),Middle20,
IF(AND(AH61&gt;Calcs!BK20,AH61&lt;=Calcs!BL20),Inline,
IF(AND(AH61&gt;Calcs!BL20,AH61&lt;=Calcs!BM20),Highest20,
IF(AH61&gt;Calcs!BM20,Highest10,""))))))))</f>
        <v/>
      </c>
      <c r="AK61" s="49"/>
      <c r="AL61" s="157"/>
      <c r="AN61" s="159" t="str">
        <f>IF(OR(AN$14="",AN$15="",AN$16="",AN$17="",AL61=""),"",
IF(AL61&lt;=Calcs!BO20,Lowest10,
IF(AND(AL61&gt;Calcs!BO20,AL61&lt;=Calcs!BP20),Lowest20,
IF(AND(AL61&gt;Calcs!BP20,AL61&lt;=Calcs!BQ20),Inline,
IF(AND(AL61&gt;Calcs!BQ20,AL61&lt;=Calcs!BS20),Middle20,
IF(AND(AL61&gt;Calcs!BS20,AL61&lt;=Calcs!BT20),Inline,
IF(AND(AL61&gt;Calcs!BT20,AL61&lt;=Calcs!BU20),Highest20,
IF(AL61&gt;Calcs!BU20,Highest10,""))))))))</f>
        <v/>
      </c>
      <c r="AO61" s="49"/>
      <c r="AP61" s="157"/>
      <c r="AR61" s="159" t="str">
        <f>IF(OR(AR$14="",AR$15="",AR$16="",AR$17="",AP61=""),"",
IF(AP61&lt;=Calcs!BW20,Lowest10,
IF(AND(AP61&gt;Calcs!BW20,AP61&lt;=Calcs!BX20),Lowest20,
IF(AND(AP61&gt;Calcs!BX20,AP61&lt;=Calcs!BY20),Inline,
IF(AND(AP61&gt;Calcs!BY20,AP61&lt;=Calcs!CA20),Middle20,
IF(AND(AP61&gt;Calcs!CA20,AP61&lt;=Calcs!CB20),Inline,
IF(AND(AP61&gt;Calcs!CB20,AP61&lt;=Calcs!CC20),Highest20,
IF(AP61&gt;Calcs!CC20,Highest10,""))))))))</f>
        <v/>
      </c>
      <c r="AS61" s="49"/>
      <c r="AT61" s="157"/>
      <c r="AV61" s="159" t="str">
        <f>IF(OR(AV$14="",AV$15="",AV$16="",AV$17="",AT61=""),"",
IF(AT61&lt;=Calcs!CE20,Lowest10,
IF(AND(AT61&gt;Calcs!CE20,AT61&lt;=Calcs!CF20),Lowest20,
IF(AND(AT61&gt;Calcs!CF20,AT61&lt;=Calcs!CG20),Inline,
IF(AND(AT61&gt;Calcs!CG20,AT61&lt;=Calcs!CI20),Middle20,
IF(AND(AT61&gt;Calcs!CI20,AT61&lt;=Calcs!CJ20),Inline,
IF(AND(AT61&gt;Calcs!CJ20,AT61&lt;=Calcs!CK20),Highest20,
IF(AT61&gt;Calcs!CK20,Highest10,""))))))))</f>
        <v/>
      </c>
      <c r="AW61" s="49"/>
      <c r="AX61" s="157"/>
      <c r="AZ61" s="159" t="str">
        <f>IF(OR(AZ$14="",AZ$15="",AZ$16="",AZ$17="",AX61=""),"",
IF(AX61&lt;=Calcs!CM20,Lowest10,
IF(AND(AX61&gt;Calcs!CM20,AX61&lt;=Calcs!CN20),Lowest20,
IF(AND(AX61&gt;Calcs!CN20,AX61&lt;=Calcs!CO20),Inline,
IF(AND(AX61&gt;Calcs!CO20,AX61&lt;=Calcs!CQ20),Middle20,
IF(AND(AX61&gt;Calcs!CQ20,AX61&lt;=Calcs!CR20),Inline,
IF(AND(AX61&gt;Calcs!CR20,AX61&lt;=Calcs!CS20),Highest20,
IF(AX61&gt;Calcs!CS20,Highest10,""))))))))</f>
        <v/>
      </c>
      <c r="BA61" s="49"/>
      <c r="BB61" s="157"/>
      <c r="BD61" s="159" t="str">
        <f>IF(OR(BD$14="",BD$15="",BD$16="",BD$17="",BB61=""),"",
IF(BB61&lt;=Calcs!CU20,Lowest10,
IF(AND(BB61&gt;Calcs!CU20,BB61&lt;=Calcs!CV20),Lowest20,
IF(AND(BB61&gt;Calcs!CV20,BB61&lt;=Calcs!CW20),Inline,
IF(AND(BB61&gt;Calcs!CW20,BB61&lt;=Calcs!CY20),Middle20,
IF(AND(BB61&gt;Calcs!CY20,BB61&lt;=Calcs!CZ20),Inline,
IF(AND(BB61&gt;Calcs!CZ20,BB61&lt;=Calcs!DA20),Highest20,
IF(BB61&gt;Calcs!DA20,Highest10,""))))))))</f>
        <v/>
      </c>
      <c r="BE61" s="49"/>
      <c r="BF61" s="157"/>
      <c r="BH61" s="159" t="str">
        <f>IF(OR(BH$14="",BH$15="",BH$16="",BH$17="",BF61=""),"",
IF(BF61&lt;=Calcs!DC20,Lowest10,
IF(AND(BF61&gt;Calcs!DC20,BF61&lt;=Calcs!DD20),Lowest20,
IF(AND(BF61&gt;Calcs!DD20,BF61&lt;=Calcs!DE20),Inline,
IF(AND(BF61&gt;Calcs!DE20,BF61&lt;=Calcs!DG20),Middle20,
IF(AND(BF61&gt;Calcs!DG20,BF61&lt;=Calcs!DH20),Inline,
IF(AND(BF61&gt;Calcs!DH20,BF61&lt;=Calcs!DI20),Highest20,
IF(BF61&gt;Calcs!DI20,Highest10,""))))))))</f>
        <v/>
      </c>
      <c r="BI61" s="49"/>
      <c r="BJ61" s="157"/>
      <c r="BL61" s="159" t="str">
        <f>IF(OR(BL$14="",BL$15="",BL$16="",BL$17="",BJ61=""),"",
IF(BJ61&lt;=Calcs!DK20,Lowest10,
IF(AND(BJ61&gt;Calcs!DK20,BJ61&lt;=Calcs!DL20),Lowest20,
IF(AND(BJ61&gt;Calcs!DL20,BJ61&lt;=Calcs!DM20),Inline,
IF(AND(BJ61&gt;Calcs!DM20,BJ61&lt;=Calcs!DO20),Middle20,
IF(AND(BJ61&gt;Calcs!DO20,BJ61&lt;=Calcs!DP20),Inline,
IF(AND(BJ61&gt;Calcs!DP20,BJ61&lt;=Calcs!DQ20),Highest20,
IF(BJ61&gt;Calcs!DQ20,Highest10,""))))))))</f>
        <v/>
      </c>
      <c r="BM61" s="49"/>
      <c r="BN61" s="157"/>
      <c r="BP61" s="159" t="str">
        <f>IF(OR(BP$14="",BP$15="",BP$16="",BP$17="",BN61=""),"",
IF(BN61&lt;=Calcs!DS20,Lowest10,
IF(AND(BN61&gt;Calcs!DS20,BN61&lt;=Calcs!DT20),Lowest20,
IF(AND(BN61&gt;Calcs!DT20,BN61&lt;=Calcs!DU20),Inline,
IF(AND(BN61&gt;Calcs!DU20,BN61&lt;=Calcs!DW20),Middle20,
IF(AND(BN61&gt;Calcs!DW20,BN61&lt;=Calcs!DX20),Inline,
IF(AND(BN61&gt;Calcs!DX20,BN61&lt;=Calcs!DY20),Highest20,
IF(BN61&gt;Calcs!DY20,Highest10,""))))))))</f>
        <v/>
      </c>
      <c r="BQ61" s="49"/>
      <c r="BR61" s="157"/>
      <c r="BT61" s="159" t="str">
        <f>IF(OR(BT$14="",BT$15="",BT$16="",BT$17="",BR61=""),"",
IF(BR61&lt;=Calcs!EA20,Lowest10,
IF(AND(BR61&gt;Calcs!EA20,BR61&lt;=Calcs!EB20),Lowest20,
IF(AND(BR61&gt;Calcs!EB20,BR61&lt;=Calcs!EC20),Inline,
IF(AND(BR61&gt;Calcs!EC20,BR61&lt;=Calcs!EE20),Middle20,
IF(AND(BR61&gt;Calcs!EE20,BR61&lt;=Calcs!EF20),Inline,
IF(AND(BR61&gt;Calcs!EF20,BR61&lt;=Calcs!EG20),Highest20,
IF(BR61&gt;Calcs!EG20,Highest10,""))))))))</f>
        <v/>
      </c>
      <c r="BU61" s="49"/>
      <c r="BV61" s="157"/>
      <c r="BX61" s="159" t="str">
        <f>IF(OR(BX$14="",BX$15="",BX$16="",BX$17="",BV61=""),"",
IF(BV61&lt;=Calcs!EI20,Lowest10,
IF(AND(BV61&gt;Calcs!EI20,BV61&lt;=Calcs!EJ20),Lowest20,
IF(AND(BV61&gt;Calcs!EJ20,BV61&lt;=Calcs!EK20),Inline,
IF(AND(BV61&gt;Calcs!EK20,BV61&lt;=Calcs!EM20),Middle20,
IF(AND(BV61&gt;Calcs!EM20,BV61&lt;=Calcs!EN20),Inline,
IF(AND(BV61&gt;Calcs!EN20,BV61&lt;=Calcs!EO20),Highest20,
IF(BV61&gt;Calcs!EO20,Highest10,""))))))))</f>
        <v/>
      </c>
      <c r="BY61" s="49"/>
      <c r="BZ61" s="157"/>
      <c r="CB61" s="159" t="str">
        <f>IF(OR(CB$14="",CB$15="",CB$16="",CB$17="",BZ61=""),"",
IF(BZ61&lt;=Calcs!EQ20,Lowest10,
IF(AND(BZ61&gt;Calcs!EQ20,BZ61&lt;=Calcs!ER20),Lowest20,
IF(AND(BZ61&gt;Calcs!ER20,BZ61&lt;=Calcs!ES20),Inline,
IF(AND(BZ61&gt;Calcs!ES20,BZ61&lt;=Calcs!EU20),Middle20,
IF(AND(BZ61&gt;Calcs!EU20,BZ61&lt;=Calcs!EV20),Inline,
IF(AND(BZ61&gt;Calcs!EV20,BZ61&lt;=Calcs!EW20),Highest20,
IF(BZ61&gt;Calcs!EW20,Highest10,""))))))))</f>
        <v/>
      </c>
      <c r="CC61" s="49"/>
      <c r="CD61" s="157"/>
      <c r="CF61" s="159" t="str">
        <f>IF(OR(CF$14="",CF$15="",CF$16="",CF$17="",CD61=""),"",
IF(CD61&lt;=Calcs!EY20,Lowest10,
IF(AND(CD61&gt;Calcs!EY20,CD61&lt;=Calcs!EZ20),Lowest20,
IF(AND(CD61&gt;Calcs!EZ20,CD61&lt;=Calcs!FA20),Inline,
IF(AND(CD61&gt;Calcs!FA20,CD61&lt;=Calcs!FC20),Middle20,
IF(AND(CD61&gt;Calcs!FC20,CD61&lt;=Calcs!FD20),Inline,
IF(AND(CD61&gt;Calcs!FD20,CD61&lt;=Calcs!FE20),Highest20,
IF(CD61&gt;Calcs!FE20,Highest10,""))))))))</f>
        <v/>
      </c>
      <c r="CG61" s="7"/>
    </row>
    <row r="62" spans="2:85" ht="15" x14ac:dyDescent="0.2">
      <c r="B62" s="6"/>
      <c r="C62" s="10"/>
      <c r="D62" s="10"/>
      <c r="E62" s="10"/>
      <c r="F62" s="226"/>
      <c r="G62" s="10"/>
      <c r="H62" s="10"/>
      <c r="I62" s="10"/>
      <c r="J62" s="226"/>
      <c r="K62" s="10"/>
      <c r="L62" s="10"/>
      <c r="M62" s="10"/>
      <c r="N62" s="226"/>
      <c r="O62" s="10"/>
      <c r="P62" s="10"/>
      <c r="Q62" s="10"/>
      <c r="R62" s="226"/>
      <c r="S62" s="10"/>
      <c r="T62" s="10"/>
      <c r="U62" s="10"/>
      <c r="V62" s="226"/>
      <c r="W62" s="10"/>
      <c r="X62" s="10"/>
      <c r="Y62" s="10"/>
      <c r="Z62" s="226"/>
      <c r="AA62" s="10"/>
      <c r="AB62" s="10"/>
      <c r="AC62" s="10"/>
      <c r="AD62" s="226"/>
      <c r="AE62" s="10"/>
      <c r="AF62" s="10"/>
      <c r="AG62" s="10"/>
      <c r="AH62" s="226"/>
      <c r="AI62" s="10"/>
      <c r="AJ62" s="10"/>
      <c r="AK62" s="10"/>
      <c r="AL62" s="226"/>
      <c r="AM62" s="10"/>
      <c r="AN62" s="10"/>
      <c r="AO62" s="10"/>
      <c r="AP62" s="226"/>
      <c r="AQ62" s="10"/>
      <c r="AR62" s="10"/>
      <c r="AS62" s="10"/>
      <c r="AT62" s="226"/>
      <c r="AU62" s="10"/>
      <c r="AV62" s="10"/>
      <c r="AW62" s="10"/>
      <c r="AX62" s="226"/>
      <c r="AY62" s="10"/>
      <c r="AZ62" s="10"/>
      <c r="BA62" s="10"/>
      <c r="BB62" s="226"/>
      <c r="BC62" s="10"/>
      <c r="BD62" s="10"/>
      <c r="BE62" s="10"/>
      <c r="BF62" s="226"/>
      <c r="BG62" s="10"/>
      <c r="BH62" s="10"/>
      <c r="BI62" s="10"/>
      <c r="BJ62" s="226"/>
      <c r="BK62" s="10"/>
      <c r="BL62" s="10"/>
      <c r="BM62" s="10"/>
      <c r="BN62" s="226"/>
      <c r="BO62" s="10"/>
      <c r="BP62" s="10"/>
      <c r="BQ62" s="10"/>
      <c r="BR62" s="226"/>
      <c r="BS62" s="10"/>
      <c r="BT62" s="10"/>
      <c r="BU62" s="10"/>
      <c r="BV62" s="226"/>
      <c r="BW62" s="10"/>
      <c r="BX62" s="10"/>
      <c r="BY62" s="10"/>
      <c r="BZ62" s="226"/>
      <c r="CA62" s="10"/>
      <c r="CB62" s="10"/>
      <c r="CC62" s="10"/>
      <c r="CD62" s="226"/>
      <c r="CE62" s="10"/>
      <c r="CF62" s="10"/>
      <c r="CG62" s="7"/>
    </row>
    <row r="63" spans="2:85" ht="17.100000000000001" customHeight="1" x14ac:dyDescent="0.2">
      <c r="B63" s="6"/>
      <c r="C63" s="290" t="s">
        <v>52</v>
      </c>
      <c r="D63" s="290"/>
      <c r="E63" s="164"/>
      <c r="F63" s="225"/>
      <c r="G63" s="164"/>
      <c r="H63" s="218"/>
      <c r="I63" s="149"/>
      <c r="J63" s="225"/>
      <c r="K63" s="164"/>
      <c r="L63" s="164"/>
      <c r="M63" s="149"/>
      <c r="N63" s="225"/>
      <c r="O63" s="164"/>
      <c r="P63" s="164"/>
      <c r="Q63" s="149"/>
      <c r="R63" s="225"/>
      <c r="S63" s="164"/>
      <c r="T63" s="164"/>
      <c r="U63" s="149"/>
      <c r="V63" s="225"/>
      <c r="W63" s="164"/>
      <c r="X63" s="164"/>
      <c r="Y63" s="149"/>
      <c r="Z63" s="225"/>
      <c r="AA63" s="164"/>
      <c r="AB63" s="164"/>
      <c r="AC63" s="149"/>
      <c r="AD63" s="225"/>
      <c r="AE63" s="164"/>
      <c r="AF63" s="164"/>
      <c r="AG63" s="149"/>
      <c r="AH63" s="225"/>
      <c r="AI63" s="164"/>
      <c r="AJ63" s="164"/>
      <c r="AK63" s="149"/>
      <c r="AL63" s="225"/>
      <c r="AM63" s="164"/>
      <c r="AN63" s="164"/>
      <c r="AO63" s="149"/>
      <c r="AP63" s="225"/>
      <c r="AQ63" s="164"/>
      <c r="AR63" s="164"/>
      <c r="AS63" s="149"/>
      <c r="AT63" s="225"/>
      <c r="AU63" s="164"/>
      <c r="AV63" s="164"/>
      <c r="AW63" s="149"/>
      <c r="AX63" s="225"/>
      <c r="AY63" s="164"/>
      <c r="AZ63" s="164"/>
      <c r="BA63" s="149"/>
      <c r="BB63" s="225"/>
      <c r="BC63" s="164"/>
      <c r="BD63" s="164"/>
      <c r="BE63" s="149"/>
      <c r="BF63" s="225"/>
      <c r="BG63" s="164"/>
      <c r="BH63" s="164"/>
      <c r="BI63" s="149"/>
      <c r="BJ63" s="225"/>
      <c r="BK63" s="164"/>
      <c r="BL63" s="164"/>
      <c r="BM63" s="149"/>
      <c r="BN63" s="225"/>
      <c r="BO63" s="164"/>
      <c r="BP63" s="164"/>
      <c r="BQ63" s="149"/>
      <c r="BR63" s="225"/>
      <c r="BS63" s="164"/>
      <c r="BT63" s="164"/>
      <c r="BU63" s="149"/>
      <c r="BV63" s="225"/>
      <c r="BW63" s="164"/>
      <c r="BX63" s="164"/>
      <c r="BY63" s="149"/>
      <c r="BZ63" s="225"/>
      <c r="CA63" s="164"/>
      <c r="CB63" s="164"/>
      <c r="CC63" s="149"/>
      <c r="CD63" s="225"/>
      <c r="CE63" s="164"/>
      <c r="CF63" s="164"/>
      <c r="CG63" s="7"/>
    </row>
    <row r="64" spans="2:85" ht="4.1500000000000004" customHeight="1" x14ac:dyDescent="0.2">
      <c r="B64" s="6"/>
      <c r="C64" s="10"/>
      <c r="D64" s="11"/>
      <c r="E64" s="11"/>
      <c r="F64" s="226"/>
      <c r="G64" s="11"/>
      <c r="H64" s="10"/>
      <c r="I64" s="11"/>
      <c r="J64" s="226"/>
      <c r="K64" s="11"/>
      <c r="L64" s="10"/>
      <c r="M64" s="11"/>
      <c r="N64" s="226"/>
      <c r="O64" s="11"/>
      <c r="P64" s="10"/>
      <c r="Q64" s="11"/>
      <c r="R64" s="226"/>
      <c r="S64" s="11"/>
      <c r="T64" s="10"/>
      <c r="U64" s="11"/>
      <c r="V64" s="226"/>
      <c r="W64" s="11"/>
      <c r="X64" s="10"/>
      <c r="Y64" s="11"/>
      <c r="Z64" s="226"/>
      <c r="AA64" s="11"/>
      <c r="AB64" s="10"/>
      <c r="AC64" s="11"/>
      <c r="AD64" s="226"/>
      <c r="AE64" s="11"/>
      <c r="AF64" s="10"/>
      <c r="AG64" s="11"/>
      <c r="AH64" s="226"/>
      <c r="AI64" s="11"/>
      <c r="AJ64" s="10"/>
      <c r="AK64" s="11"/>
      <c r="AL64" s="226"/>
      <c r="AM64" s="11"/>
      <c r="AN64" s="10"/>
      <c r="AO64" s="11"/>
      <c r="AP64" s="226"/>
      <c r="AQ64" s="11"/>
      <c r="AR64" s="10"/>
      <c r="AS64" s="11"/>
      <c r="AT64" s="226"/>
      <c r="AU64" s="11"/>
      <c r="AV64" s="10"/>
      <c r="AW64" s="11"/>
      <c r="AX64" s="226"/>
      <c r="AY64" s="11"/>
      <c r="AZ64" s="10"/>
      <c r="BA64" s="11"/>
      <c r="BB64" s="226"/>
      <c r="BC64" s="11"/>
      <c r="BD64" s="10"/>
      <c r="BE64" s="11"/>
      <c r="BF64" s="226"/>
      <c r="BG64" s="11"/>
      <c r="BH64" s="10"/>
      <c r="BI64" s="11"/>
      <c r="BJ64" s="226"/>
      <c r="BK64" s="11"/>
      <c r="BL64" s="10"/>
      <c r="BM64" s="11"/>
      <c r="BN64" s="226"/>
      <c r="BO64" s="11"/>
      <c r="BP64" s="10"/>
      <c r="BQ64" s="11"/>
      <c r="BR64" s="226"/>
      <c r="BS64" s="11"/>
      <c r="BT64" s="10"/>
      <c r="BU64" s="11"/>
      <c r="BV64" s="226"/>
      <c r="BW64" s="11"/>
      <c r="BX64" s="10"/>
      <c r="BY64" s="11"/>
      <c r="BZ64" s="226"/>
      <c r="CA64" s="11"/>
      <c r="CB64" s="10"/>
      <c r="CC64" s="11"/>
      <c r="CD64" s="226"/>
      <c r="CE64" s="11"/>
      <c r="CF64" s="10"/>
      <c r="CG64" s="7"/>
    </row>
    <row r="65" spans="2:85" ht="17.100000000000001" customHeight="1" x14ac:dyDescent="0.2">
      <c r="B65" s="6"/>
      <c r="C65" s="223" t="s">
        <v>7</v>
      </c>
      <c r="D65" s="219" t="s">
        <v>58</v>
      </c>
      <c r="E65" s="49"/>
      <c r="F65" s="165" t="s">
        <v>126</v>
      </c>
      <c r="H65" s="159" t="str">
        <f ca="1">IF(OR(H$14="",H$15="",H$16="",H$17="",F65=""),"",INDIRECT(F65))</f>
        <v>Good</v>
      </c>
      <c r="I65" s="49"/>
      <c r="J65" s="165"/>
      <c r="L65" s="159" t="str">
        <f ca="1">IF(OR(L$14="",L$15="",L$16="",L$17="",J65=""),"",INDIRECT(J65))</f>
        <v/>
      </c>
      <c r="M65" s="49"/>
      <c r="N65" s="165"/>
      <c r="P65" s="159" t="str">
        <f ca="1">IF(OR(P$14="",P$15="",P$16="",P$17="",N65=""),"",INDIRECT(N65))</f>
        <v/>
      </c>
      <c r="Q65" s="49"/>
      <c r="R65" s="165"/>
      <c r="T65" s="159" t="str">
        <f ca="1">IF(OR(T$14="",T$15="",T$16="",T$17="",R65=""),"",INDIRECT(R65))</f>
        <v/>
      </c>
      <c r="U65" s="49"/>
      <c r="V65" s="165"/>
      <c r="X65" s="159" t="str">
        <f ca="1">IF(OR(X$14="",X$15="",X$16="",X$17="",V65=""),"",INDIRECT(V65))</f>
        <v/>
      </c>
      <c r="Y65" s="49"/>
      <c r="Z65" s="165"/>
      <c r="AB65" s="159" t="str">
        <f ca="1">IF(OR(AB$14="",AB$15="",AB$16="",AB$17="",Z65=""),"",INDIRECT(Z65))</f>
        <v/>
      </c>
      <c r="AC65" s="49"/>
      <c r="AD65" s="165"/>
      <c r="AF65" s="159" t="str">
        <f ca="1">IF(OR(AF$14="",AF$15="",AF$16="",AF$17="",AD65=""),"",INDIRECT(AD65))</f>
        <v/>
      </c>
      <c r="AG65" s="49"/>
      <c r="AH65" s="165"/>
      <c r="AJ65" s="159" t="str">
        <f ca="1">IF(OR(AJ$14="",AJ$15="",AJ$16="",AJ$17="",AH65=""),"",INDIRECT(AH65))</f>
        <v/>
      </c>
      <c r="AK65" s="49"/>
      <c r="AL65" s="165"/>
      <c r="AN65" s="159" t="str">
        <f ca="1">IF(OR(AN$14="",AN$15="",AN$16="",AN$17="",AL65=""),"",INDIRECT(AL65))</f>
        <v/>
      </c>
      <c r="AO65" s="49"/>
      <c r="AP65" s="165"/>
      <c r="AR65" s="159" t="str">
        <f ca="1">IF(OR(AR$14="",AR$15="",AR$16="",AR$17="",AP65=""),"",INDIRECT(AP65))</f>
        <v/>
      </c>
      <c r="AS65" s="49"/>
      <c r="AT65" s="165"/>
      <c r="AV65" s="159" t="str">
        <f ca="1">IF(OR(AV$14="",AV$15="",AV$16="",AV$17="",AT65=""),"",INDIRECT(AT65))</f>
        <v/>
      </c>
      <c r="AW65" s="49"/>
      <c r="AX65" s="165"/>
      <c r="AZ65" s="159" t="str">
        <f ca="1">IF(OR(AZ$14="",AZ$15="",AZ$16="",AZ$17="",AX65=""),"",INDIRECT(AX65))</f>
        <v/>
      </c>
      <c r="BA65" s="49"/>
      <c r="BB65" s="165"/>
      <c r="BD65" s="159" t="str">
        <f ca="1">IF(OR(BD$14="",BD$15="",BD$16="",BD$17="",BB65=""),"",INDIRECT(BB65))</f>
        <v/>
      </c>
      <c r="BE65" s="49"/>
      <c r="BF65" s="165"/>
      <c r="BH65" s="159" t="str">
        <f ca="1">IF(OR(BH$14="",BH$15="",BH$16="",BH$17="",BF65=""),"",INDIRECT(BF65))</f>
        <v/>
      </c>
      <c r="BI65" s="49"/>
      <c r="BJ65" s="165"/>
      <c r="BL65" s="159" t="str">
        <f ca="1">IF(OR(BL$14="",BL$15="",BL$16="",BL$17="",BJ65=""),"",INDIRECT(BJ65))</f>
        <v/>
      </c>
      <c r="BM65" s="49"/>
      <c r="BN65" s="165"/>
      <c r="BP65" s="159" t="str">
        <f ca="1">IF(OR(BP$14="",BP$15="",BP$16="",BP$17="",BN65=""),"",INDIRECT(BN65))</f>
        <v/>
      </c>
      <c r="BQ65" s="49"/>
      <c r="BR65" s="165"/>
      <c r="BT65" s="159" t="str">
        <f ca="1">IF(OR(BT$14="",BT$15="",BT$16="",BT$17="",BR65=""),"",INDIRECT(BR65))</f>
        <v/>
      </c>
      <c r="BU65" s="49"/>
      <c r="BV65" s="165"/>
      <c r="BX65" s="159" t="str">
        <f ca="1">IF(OR(BX$14="",BX$15="",BX$16="",BX$17="",BV65=""),"",INDIRECT(BV65))</f>
        <v/>
      </c>
      <c r="BY65" s="49"/>
      <c r="BZ65" s="165"/>
      <c r="CB65" s="159" t="str">
        <f ca="1">IF(OR(CB$14="",CB$15="",CB$16="",CB$17="",BZ65=""),"",INDIRECT(BZ65))</f>
        <v/>
      </c>
      <c r="CC65" s="49"/>
      <c r="CD65" s="165"/>
      <c r="CF65" s="159" t="str">
        <f ca="1">IF(OR(CF$14="",CF$15="",CF$16="",CF$17="",CD65=""),"",INDIRECT(CD65))</f>
        <v/>
      </c>
      <c r="CG65" s="7"/>
    </row>
    <row r="66" spans="2:85" ht="17.100000000000001" customHeight="1" x14ac:dyDescent="0.2">
      <c r="B66" s="6"/>
      <c r="C66" s="224" t="s">
        <v>8</v>
      </c>
      <c r="D66" s="219" t="s">
        <v>58</v>
      </c>
      <c r="E66" s="49"/>
      <c r="F66" s="157">
        <v>-0.21</v>
      </c>
      <c r="H66" s="159" t="str">
        <f>IF(OR(H$14="",H$15="",H$16="",H$17="",F66=""),"",
IF(F66&gt;=0.5,Wellabove,
IF(AND(F66&gt;=0,F66&lt;0.5),Average,
IF(AND(F66&gt;=-0.5,F66&lt;0),Below,
IF(F66&lt;-0.5,Wellbelow,"")))))</f>
        <v>Below average</v>
      </c>
      <c r="I66" s="49"/>
      <c r="J66" s="157"/>
      <c r="L66" s="159" t="str">
        <f>IF(OR(L$14="",L$15="",L$16="",L$17="",J66=""),"",
IF(J66&gt;=0.5,Wellabove,
IF(AND(J66&gt;=0,J66&lt;0.5),Average,
IF(AND(J66&gt;=-0.5,J66&lt;0),Below,
IF(J66&lt;-0.5,Wellbelow,"")))))</f>
        <v/>
      </c>
      <c r="M66" s="49"/>
      <c r="N66" s="157"/>
      <c r="P66" s="159" t="str">
        <f>IF(OR(P$14="",P$15="",P$16="",P$17="",N66=""),"",
IF(N66&gt;=0.5,Wellabove,
IF(AND(N66&gt;=0,N66&lt;0.5),Average,
IF(AND(N66&gt;=-0.5,N66&lt;0),Below,
IF(N66&lt;-0.5,Wellbelow,"")))))</f>
        <v/>
      </c>
      <c r="Q66" s="49"/>
      <c r="R66" s="157"/>
      <c r="T66" s="159" t="str">
        <f>IF(OR(T$14="",T$15="",T$16="",T$17="",R66=""),"",
IF(R66&gt;=0.5,Wellabove,
IF(AND(R66&gt;=0,R66&lt;0.5),Average,
IF(AND(R66&gt;=-0.5,R66&lt;0),Below,
IF(R66&lt;-0.5,Wellbelow,"")))))</f>
        <v/>
      </c>
      <c r="U66" s="49"/>
      <c r="V66" s="157"/>
      <c r="X66" s="159" t="str">
        <f>IF(OR(X$14="",X$15="",X$16="",X$17="",V66=""),"",
IF(V66&gt;=0.5,Wellabove,
IF(AND(V66&gt;=0,V66&lt;0.5),Average,
IF(AND(V66&gt;=-0.5,V66&lt;0),Below,
IF(V66&lt;-0.5,Wellbelow,"")))))</f>
        <v/>
      </c>
      <c r="Y66" s="49"/>
      <c r="Z66" s="157"/>
      <c r="AB66" s="159" t="str">
        <f>IF(OR(AB$14="",AB$15="",AB$16="",AB$17="",Z66=""),"",
IF(Z66&gt;=0.5,Wellabove,
IF(AND(Z66&gt;=0,Z66&lt;0.5),Average,
IF(AND(Z66&gt;=-0.5,Z66&lt;0),Below,
IF(Z66&lt;-0.5,Wellbelow,"")))))</f>
        <v/>
      </c>
      <c r="AC66" s="49"/>
      <c r="AD66" s="157"/>
      <c r="AF66" s="159" t="str">
        <f>IF(OR(AF$14="",AF$15="",AF$16="",AF$17="",AD66=""),"",
IF(AD66&gt;=0.5,Wellabove,
IF(AND(AD66&gt;=0,AD66&lt;0.5),Average,
IF(AND(AD66&gt;=-0.5,AD66&lt;0),Below,
IF(AD66&lt;-0.5,Wellbelow,"")))))</f>
        <v/>
      </c>
      <c r="AG66" s="49"/>
      <c r="AH66" s="157"/>
      <c r="AJ66" s="159" t="str">
        <f>IF(OR(AJ$14="",AJ$15="",AJ$16="",AJ$17="",AH66=""),"",
IF(AH66&gt;=0.5,Wellabove,
IF(AND(AH66&gt;=0,AH66&lt;0.5),Average,
IF(AND(AH66&gt;=-0.5,AH66&lt;0),Below,
IF(AH66&lt;-0.5,Wellbelow,"")))))</f>
        <v/>
      </c>
      <c r="AK66" s="49"/>
      <c r="AL66" s="157"/>
      <c r="AN66" s="159" t="str">
        <f>IF(OR(AN$14="",AN$15="",AN$16="",AN$17="",AL66=""),"",
IF(AL66&gt;=0.5,Wellabove,
IF(AND(AL66&gt;=0,AL66&lt;0.5),Average,
IF(AND(AL66&gt;=-0.5,AL66&lt;0),Below,
IF(AL66&lt;-0.5,Wellbelow,"")))))</f>
        <v/>
      </c>
      <c r="AO66" s="49"/>
      <c r="AP66" s="157"/>
      <c r="AR66" s="159" t="str">
        <f>IF(OR(AR$14="",AR$15="",AR$16="",AR$17="",AP66=""),"",
IF(AP66&gt;=0.5,Wellabove,
IF(AND(AP66&gt;=0,AP66&lt;0.5),Average,
IF(AND(AP66&gt;=-0.5,AP66&lt;0),Below,
IF(AP66&lt;-0.5,Wellbelow,"")))))</f>
        <v/>
      </c>
      <c r="AS66" s="49"/>
      <c r="AT66" s="157"/>
      <c r="AV66" s="159" t="str">
        <f>IF(OR(AV$14="",AV$15="",AV$16="",AV$17="",AT66=""),"",
IF(AT66&gt;=0.5,Wellabove,
IF(AND(AT66&gt;=0,AT66&lt;0.5),Average,
IF(AND(AT66&gt;=-0.5,AT66&lt;0),Below,
IF(AT66&lt;-0.5,Wellbelow,"")))))</f>
        <v/>
      </c>
      <c r="AW66" s="49"/>
      <c r="AX66" s="157"/>
      <c r="AZ66" s="159" t="str">
        <f>IF(OR(AZ$14="",AZ$15="",AZ$16="",AZ$17="",AX66=""),"",
IF(AX66&gt;=0.5,Wellabove,
IF(AND(AX66&gt;=0,AX66&lt;0.5),Average,
IF(AND(AX66&gt;=-0.5,AX66&lt;0),Below,
IF(AX66&lt;-0.5,Wellbelow,"")))))</f>
        <v/>
      </c>
      <c r="BA66" s="49"/>
      <c r="BB66" s="157"/>
      <c r="BD66" s="159" t="str">
        <f>IF(OR(BD$14="",BD$15="",BD$16="",BD$17="",BB66=""),"",
IF(BB66&gt;=0.5,Wellabove,
IF(AND(BB66&gt;=0,BB66&lt;0.5),Average,
IF(AND(BB66&gt;=-0.5,BB66&lt;0),Below,
IF(BB66&lt;-0.5,Wellbelow,"")))))</f>
        <v/>
      </c>
      <c r="BE66" s="49"/>
      <c r="BF66" s="157"/>
      <c r="BH66" s="159" t="str">
        <f>IF(OR(BH$14="",BH$15="",BH$16="",BH$17="",BF66=""),"",
IF(BF66&gt;=0.5,Wellabove,
IF(AND(BF66&gt;=0,BF66&lt;0.5),Average,
IF(AND(BF66&gt;=-0.5,BF66&lt;0),Below,
IF(BF66&lt;-0.5,Wellbelow,"")))))</f>
        <v/>
      </c>
      <c r="BI66" s="49"/>
      <c r="BJ66" s="157"/>
      <c r="BL66" s="159" t="str">
        <f>IF(OR(BL$14="",BL$15="",BL$16="",BL$17="",BJ66=""),"",
IF(BJ66&gt;=0.5,Wellabove,
IF(AND(BJ66&gt;=0,BJ66&lt;0.5),Average,
IF(AND(BJ66&gt;=-0.5,BJ66&lt;0),Below,
IF(BJ66&lt;-0.5,Wellbelow,"")))))</f>
        <v/>
      </c>
      <c r="BM66" s="49"/>
      <c r="BN66" s="157"/>
      <c r="BP66" s="159" t="str">
        <f>IF(OR(BP$14="",BP$15="",BP$16="",BP$17="",BN66=""),"",
IF(BN66&gt;=0.5,Wellabove,
IF(AND(BN66&gt;=0,BN66&lt;0.5),Average,
IF(AND(BN66&gt;=-0.5,BN66&lt;0),Below,
IF(BN66&lt;-0.5,Wellbelow,"")))))</f>
        <v/>
      </c>
      <c r="BQ66" s="49"/>
      <c r="BR66" s="157"/>
      <c r="BT66" s="159" t="str">
        <f>IF(OR(BT$14="",BT$15="",BT$16="",BT$17="",BR66=""),"",
IF(BR66&gt;=0.5,Wellabove,
IF(AND(BR66&gt;=0,BR66&lt;0.5),Average,
IF(AND(BR66&gt;=-0.5,BR66&lt;0),Below,
IF(BR66&lt;-0.5,Wellbelow,"")))))</f>
        <v/>
      </c>
      <c r="BU66" s="49"/>
      <c r="BV66" s="157"/>
      <c r="BX66" s="159" t="str">
        <f>IF(OR(BX$14="",BX$15="",BX$16="",BX$17="",BV66=""),"",
IF(BV66&gt;=0.5,Wellabove,
IF(AND(BV66&gt;=0,BV66&lt;0.5),Average,
IF(AND(BV66&gt;=-0.5,BV66&lt;0),Below,
IF(BV66&lt;-0.5,Wellbelow,"")))))</f>
        <v/>
      </c>
      <c r="BY66" s="49"/>
      <c r="BZ66" s="157"/>
      <c r="CB66" s="159" t="str">
        <f>IF(OR(CB$14="",CB$15="",CB$16="",CB$17="",BZ66=""),"",
IF(BZ66&gt;=0.5,Wellabove,
IF(AND(BZ66&gt;=0,BZ66&lt;0.5),Average,
IF(AND(BZ66&gt;=-0.5,BZ66&lt;0),Below,
IF(BZ66&lt;-0.5,Wellbelow,"")))))</f>
        <v/>
      </c>
      <c r="CC66" s="49"/>
      <c r="CD66" s="157"/>
      <c r="CF66" s="159" t="str">
        <f>IF(OR(CF$14="",CF$15="",CF$16="",CF$17="",CD66=""),"",
IF(CD66&gt;=0.5,Wellabove,
IF(AND(CD66&gt;=0,CD66&lt;0.5),Average,
IF(AND(CD66&gt;=-0.5,CD66&lt;0),Below,
IF(CD66&lt;-0.5,Wellbelow,"")))))</f>
        <v/>
      </c>
      <c r="CG66" s="7"/>
    </row>
    <row r="67" spans="2:85" ht="17.100000000000001" customHeight="1" x14ac:dyDescent="0.2">
      <c r="B67" s="6"/>
      <c r="C67" s="223" t="s">
        <v>9</v>
      </c>
      <c r="D67" s="219" t="s">
        <v>58</v>
      </c>
      <c r="E67" s="49"/>
      <c r="F67" s="157"/>
      <c r="H67" s="159" t="str">
        <f>IF(OR(H$14="",H$15="",H$16="",H$17="",F67=""),"",
IF(F67&gt;=3.1,Wellabove,
IF(AND(F67&gt;=0,F67&lt;3.1),Average,
IF(AND(F67&gt;=-2.8,F67&lt;0),Below,
IF(F67&lt;-2.8,Wellbelow,"")))))</f>
        <v/>
      </c>
      <c r="I67" s="49"/>
      <c r="J67" s="157"/>
      <c r="L67" s="159" t="str">
        <f>IF(OR(L$14="",L$15="",L$16="",L$17="",J67=""),"",
IF(J67&gt;=3.1,Wellabove,
IF(AND(J67&gt;=0,J67&lt;3.1),Average,
IF(AND(J67&gt;=-2.8,J67&lt;0),Below,
IF(J67&lt;-2.8,Wellbelow,"")))))</f>
        <v/>
      </c>
      <c r="M67" s="49"/>
      <c r="N67" s="157"/>
      <c r="P67" s="159" t="str">
        <f>IF(OR(P$14="",P$15="",P$16="",P$17="",N67=""),"",
IF(N67&gt;=3.1,Wellabove,
IF(AND(N67&gt;=0,N67&lt;3.1),Average,
IF(AND(N67&gt;=-2.8,N67&lt;0),Below,
IF(N67&lt;-2.8,Wellbelow,"")))))</f>
        <v/>
      </c>
      <c r="Q67" s="49"/>
      <c r="R67" s="157"/>
      <c r="T67" s="159" t="str">
        <f>IF(OR(T$14="",T$15="",T$16="",T$17="",R67=""),"",
IF(R67&gt;=3.1,Wellabove,
IF(AND(R67&gt;=0,R67&lt;3.1),Average,
IF(AND(R67&gt;=-2.8,R67&lt;0),Below,
IF(R67&lt;-2.8,Wellbelow,"")))))</f>
        <v/>
      </c>
      <c r="U67" s="49"/>
      <c r="V67" s="157"/>
      <c r="X67" s="159" t="str">
        <f>IF(OR(X$14="",X$15="",X$16="",X$17="",V67=""),"",
IF(V67&gt;=3.1,Wellabove,
IF(AND(V67&gt;=0,V67&lt;3.1),Average,
IF(AND(V67&gt;=-2.8,V67&lt;0),Below,
IF(V67&lt;-2.8,Wellbelow,"")))))</f>
        <v/>
      </c>
      <c r="Y67" s="49"/>
      <c r="Z67" s="157"/>
      <c r="AB67" s="159" t="str">
        <f>IF(OR(AB$14="",AB$15="",AB$16="",AB$17="",Z67=""),"",
IF(Z67&gt;=3.1,Wellabove,
IF(AND(Z67&gt;=0,Z67&lt;3.1),Average,
IF(AND(Z67&gt;=-2.8,Z67&lt;0),Below,
IF(Z67&lt;-2.8,Wellbelow,"")))))</f>
        <v/>
      </c>
      <c r="AC67" s="49"/>
      <c r="AD67" s="157"/>
      <c r="AF67" s="159" t="str">
        <f>IF(OR(AF$14="",AF$15="",AF$16="",AF$17="",AD67=""),"",
IF(AD67&gt;=3.1,Wellabove,
IF(AND(AD67&gt;=0,AD67&lt;3.1),Average,
IF(AND(AD67&gt;=-2.8,AD67&lt;0),Below,
IF(AD67&lt;-2.8,Wellbelow,"")))))</f>
        <v/>
      </c>
      <c r="AG67" s="49"/>
      <c r="AH67" s="157"/>
      <c r="AJ67" s="159" t="str">
        <f>IF(OR(AJ$14="",AJ$15="",AJ$16="",AJ$17="",AH67=""),"",
IF(AH67&gt;=3.1,Wellabove,
IF(AND(AH67&gt;=0,AH67&lt;3.1),Average,
IF(AND(AH67&gt;=-2.8,AH67&lt;0),Below,
IF(AH67&lt;-2.8,Wellbelow,"")))))</f>
        <v/>
      </c>
      <c r="AK67" s="49"/>
      <c r="AL67" s="157"/>
      <c r="AN67" s="159" t="str">
        <f>IF(OR(AN$14="",AN$15="",AN$16="",AN$17="",AL67=""),"",
IF(AL67&gt;=3.1,Wellabove,
IF(AND(AL67&gt;=0,AL67&lt;3.1),Average,
IF(AND(AL67&gt;=-2.8,AL67&lt;0),Below,
IF(AL67&lt;-2.8,Wellbelow,"")))))</f>
        <v/>
      </c>
      <c r="AO67" s="49"/>
      <c r="AP67" s="157"/>
      <c r="AR67" s="159" t="str">
        <f>IF(OR(AR$14="",AR$15="",AR$16="",AR$17="",AP67=""),"",
IF(AP67&gt;=3.1,Wellabove,
IF(AND(AP67&gt;=0,AP67&lt;3.1),Average,
IF(AND(AP67&gt;=-2.8,AP67&lt;0),Below,
IF(AP67&lt;-2.8,Wellbelow,"")))))</f>
        <v/>
      </c>
      <c r="AS67" s="49"/>
      <c r="AT67" s="157"/>
      <c r="AV67" s="159" t="str">
        <f>IF(OR(AV$14="",AV$15="",AV$16="",AV$17="",AT67=""),"",
IF(AT67&gt;=3.1,Wellabove,
IF(AND(AT67&gt;=0,AT67&lt;3.1),Average,
IF(AND(AT67&gt;=-2.8,AT67&lt;0),Below,
IF(AT67&lt;-2.8,Wellbelow,"")))))</f>
        <v/>
      </c>
      <c r="AW67" s="49"/>
      <c r="AX67" s="157"/>
      <c r="AZ67" s="159" t="str">
        <f>IF(OR(AZ$14="",AZ$15="",AZ$16="",AZ$17="",AX67=""),"",
IF(AX67&gt;=3.1,Wellabove,
IF(AND(AX67&gt;=0,AX67&lt;3.1),Average,
IF(AND(AX67&gt;=-2.8,AX67&lt;0),Below,
IF(AX67&lt;-2.8,Wellbelow,"")))))</f>
        <v/>
      </c>
      <c r="BA67" s="49"/>
      <c r="BB67" s="157"/>
      <c r="BD67" s="159" t="str">
        <f>IF(OR(BD$14="",BD$15="",BD$16="",BD$17="",BB67=""),"",
IF(BB67&gt;=3.1,Wellabove,
IF(AND(BB67&gt;=0,BB67&lt;3.1),Average,
IF(AND(BB67&gt;=-2.8,BB67&lt;0),Below,
IF(BB67&lt;-2.8,Wellbelow,"")))))</f>
        <v/>
      </c>
      <c r="BE67" s="49"/>
      <c r="BF67" s="157"/>
      <c r="BH67" s="159" t="str">
        <f>IF(OR(BH$14="",BH$15="",BH$16="",BH$17="",BF67=""),"",
IF(BF67&gt;=3.1,Wellabove,
IF(AND(BF67&gt;=0,BF67&lt;3.1),Average,
IF(AND(BF67&gt;=-2.8,BF67&lt;0),Below,
IF(BF67&lt;-2.8,Wellbelow,"")))))</f>
        <v/>
      </c>
      <c r="BI67" s="49"/>
      <c r="BJ67" s="157"/>
      <c r="BL67" s="159" t="str">
        <f>IF(OR(BL$14="",BL$15="",BL$16="",BL$17="",BJ67=""),"",
IF(BJ67&gt;=3.1,Wellabove,
IF(AND(BJ67&gt;=0,BJ67&lt;3.1),Average,
IF(AND(BJ67&gt;=-2.8,BJ67&lt;0),Below,
IF(BJ67&lt;-2.8,Wellbelow,"")))))</f>
        <v/>
      </c>
      <c r="BM67" s="49"/>
      <c r="BN67" s="157"/>
      <c r="BP67" s="159" t="str">
        <f>IF(OR(BP$14="",BP$15="",BP$16="",BP$17="",BN67=""),"",
IF(BN67&gt;=3.1,Wellabove,
IF(AND(BN67&gt;=0,BN67&lt;3.1),Average,
IF(AND(BN67&gt;=-2.8,BN67&lt;0),Below,
IF(BN67&lt;-2.8,Wellbelow,"")))))</f>
        <v/>
      </c>
      <c r="BQ67" s="49"/>
      <c r="BR67" s="157"/>
      <c r="BT67" s="159" t="str">
        <f>IF(OR(BT$14="",BT$15="",BT$16="",BT$17="",BR67=""),"",
IF(BR67&gt;=3.1,Wellabove,
IF(AND(BR67&gt;=0,BR67&lt;3.1),Average,
IF(AND(BR67&gt;=-2.8,BR67&lt;0),Below,
IF(BR67&lt;-2.8,Wellbelow,"")))))</f>
        <v/>
      </c>
      <c r="BU67" s="49"/>
      <c r="BV67" s="157"/>
      <c r="BX67" s="159" t="str">
        <f>IF(OR(BX$14="",BX$15="",BX$16="",BX$17="",BV67=""),"",
IF(BV67&gt;=3.1,Wellabove,
IF(AND(BV67&gt;=0,BV67&lt;3.1),Average,
IF(AND(BV67&gt;=-2.8,BV67&lt;0),Below,
IF(BV67&lt;-2.8,Wellbelow,"")))))</f>
        <v/>
      </c>
      <c r="BY67" s="49"/>
      <c r="BZ67" s="157"/>
      <c r="CB67" s="159" t="str">
        <f>IF(OR(CB$14="",CB$15="",CB$16="",CB$17="",BZ67=""),"",
IF(BZ67&gt;=3.1,Wellabove,
IF(AND(BZ67&gt;=0,BZ67&lt;3.1),Average,
IF(AND(BZ67&gt;=-2.8,BZ67&lt;0),Below,
IF(BZ67&lt;-2.8,Wellbelow,"")))))</f>
        <v/>
      </c>
      <c r="CC67" s="49"/>
      <c r="CD67" s="157"/>
      <c r="CF67" s="159" t="str">
        <f>IF(OR(CF$14="",CF$15="",CF$16="",CF$17="",CD67=""),"",
IF(CD67&gt;=3.1,Wellabove,
IF(AND(CD67&gt;=0,CD67&lt;3.1),Average,
IF(AND(CD67&gt;=-2.8,CD67&lt;0),Below,
IF(CD67&lt;-2.8,Wellbelow,"")))))</f>
        <v/>
      </c>
      <c r="CG67" s="7"/>
    </row>
    <row r="68" spans="2:85" ht="17.100000000000001" customHeight="1" x14ac:dyDescent="0.2">
      <c r="B68" s="6"/>
      <c r="C68" s="223" t="s">
        <v>10</v>
      </c>
      <c r="D68" s="219" t="s">
        <v>58</v>
      </c>
      <c r="E68" s="49"/>
      <c r="F68" s="157"/>
      <c r="H68" s="159" t="str">
        <f>IF(OR(H$14="",H$15="",H$16="",H$17="",F68=""),"",
IF(F68&gt;=2.7,Wellabove,
IF(AND(F68&gt;=0,F68&lt;2.7),Average,
IF(AND(F68&gt;=-2.6,F68&lt;0),Below,
IF(F68&lt;-2.6,Wellbelow,"")))))</f>
        <v/>
      </c>
      <c r="I68" s="49"/>
      <c r="J68" s="157"/>
      <c r="L68" s="159" t="str">
        <f>IF(OR(L$14="",L$15="",L$16="",L$17="",J68=""),"",
IF(J68&gt;=2.7,Wellabove,
IF(AND(J68&gt;=0,J68&lt;2.7),Average,
IF(AND(J68&gt;=-2.6,J68&lt;0),Below,
IF(J68&lt;-2.6,Wellbelow,"")))))</f>
        <v/>
      </c>
      <c r="M68" s="49"/>
      <c r="N68" s="157"/>
      <c r="P68" s="159" t="str">
        <f>IF(OR(P$14="",P$15="",P$16="",P$17="",N68=""),"",
IF(N68&gt;=2.7,Wellabove,
IF(AND(N68&gt;=0,N68&lt;2.7),Average,
IF(AND(N68&gt;=-2.6,N68&lt;0),Below,
IF(N68&lt;-2.6,Wellbelow,"")))))</f>
        <v/>
      </c>
      <c r="Q68" s="49"/>
      <c r="R68" s="157"/>
      <c r="T68" s="159" t="str">
        <f>IF(OR(T$14="",T$15="",T$16="",T$17="",R68=""),"",
IF(R68&gt;=2.7,Wellabove,
IF(AND(R68&gt;=0,R68&lt;2.7),Average,
IF(AND(R68&gt;=-2.6,R68&lt;0),Below,
IF(R68&lt;-2.6,Wellbelow,"")))))</f>
        <v/>
      </c>
      <c r="U68" s="49"/>
      <c r="V68" s="157"/>
      <c r="X68" s="159" t="str">
        <f>IF(OR(X$14="",X$15="",X$16="",X$17="",V68=""),"",
IF(V68&gt;=2.7,Wellabove,
IF(AND(V68&gt;=0,V68&lt;2.7),Average,
IF(AND(V68&gt;=-2.6,V68&lt;0),Below,
IF(V68&lt;-2.6,Wellbelow,"")))))</f>
        <v/>
      </c>
      <c r="Y68" s="49"/>
      <c r="Z68" s="157"/>
      <c r="AB68" s="159" t="str">
        <f>IF(OR(AB$14="",AB$15="",AB$16="",AB$17="",Z68=""),"",
IF(Z68&gt;=2.7,Wellabove,
IF(AND(Z68&gt;=0,Z68&lt;2.7),Average,
IF(AND(Z68&gt;=-2.6,Z68&lt;0),Below,
IF(Z68&lt;-2.6,Wellbelow,"")))))</f>
        <v/>
      </c>
      <c r="AC68" s="49"/>
      <c r="AD68" s="157"/>
      <c r="AF68" s="159" t="str">
        <f>IF(OR(AF$14="",AF$15="",AF$16="",AF$17="",AD68=""),"",
IF(AD68&gt;=2.7,Wellabove,
IF(AND(AD68&gt;=0,AD68&lt;2.7),Average,
IF(AND(AD68&gt;=-2.6,AD68&lt;0),Below,
IF(AD68&lt;-2.6,Wellbelow,"")))))</f>
        <v/>
      </c>
      <c r="AG68" s="49"/>
      <c r="AH68" s="157"/>
      <c r="AJ68" s="159" t="str">
        <f>IF(OR(AJ$14="",AJ$15="",AJ$16="",AJ$17="",AH68=""),"",
IF(AH68&gt;=2.7,Wellabove,
IF(AND(AH68&gt;=0,AH68&lt;2.7),Average,
IF(AND(AH68&gt;=-2.6,AH68&lt;0),Below,
IF(AH68&lt;-2.6,Wellbelow,"")))))</f>
        <v/>
      </c>
      <c r="AK68" s="49"/>
      <c r="AL68" s="157"/>
      <c r="AN68" s="159" t="str">
        <f>IF(OR(AN$14="",AN$15="",AN$16="",AN$17="",AL68=""),"",
IF(AL68&gt;=2.7,Wellabove,
IF(AND(AL68&gt;=0,AL68&lt;2.7),Average,
IF(AND(AL68&gt;=-2.6,AL68&lt;0),Below,
IF(AL68&lt;-2.6,Wellbelow,"")))))</f>
        <v/>
      </c>
      <c r="AO68" s="49"/>
      <c r="AP68" s="157"/>
      <c r="AR68" s="159" t="str">
        <f>IF(OR(AR$14="",AR$15="",AR$16="",AR$17="",AP68=""),"",
IF(AP68&gt;=2.7,Wellabove,
IF(AND(AP68&gt;=0,AP68&lt;2.7),Average,
IF(AND(AP68&gt;=-2.6,AP68&lt;0),Below,
IF(AP68&lt;-2.6,Wellbelow,"")))))</f>
        <v/>
      </c>
      <c r="AS68" s="49"/>
      <c r="AT68" s="157"/>
      <c r="AV68" s="159" t="str">
        <f>IF(OR(AV$14="",AV$15="",AV$16="",AV$17="",AT68=""),"",
IF(AT68&gt;=2.7,Wellabove,
IF(AND(AT68&gt;=0,AT68&lt;2.7),Average,
IF(AND(AT68&gt;=-2.6,AT68&lt;0),Below,
IF(AT68&lt;-2.6,Wellbelow,"")))))</f>
        <v/>
      </c>
      <c r="AW68" s="49"/>
      <c r="AX68" s="157"/>
      <c r="AZ68" s="159" t="str">
        <f>IF(OR(AZ$14="",AZ$15="",AZ$16="",AZ$17="",AX68=""),"",
IF(AX68&gt;=2.7,Wellabove,
IF(AND(AX68&gt;=0,AX68&lt;2.7),Average,
IF(AND(AX68&gt;=-2.6,AX68&lt;0),Below,
IF(AX68&lt;-2.6,Wellbelow,"")))))</f>
        <v/>
      </c>
      <c r="BA68" s="49"/>
      <c r="BB68" s="157"/>
      <c r="BD68" s="159" t="str">
        <f>IF(OR(BD$14="",BD$15="",BD$16="",BD$17="",BB68=""),"",
IF(BB68&gt;=2.7,Wellabove,
IF(AND(BB68&gt;=0,BB68&lt;2.7),Average,
IF(AND(BB68&gt;=-2.6,BB68&lt;0),Below,
IF(BB68&lt;-2.6,Wellbelow,"")))))</f>
        <v/>
      </c>
      <c r="BE68" s="49"/>
      <c r="BF68" s="157"/>
      <c r="BH68" s="159" t="str">
        <f>IF(OR(BH$14="",BH$15="",BH$16="",BH$17="",BF68=""),"",
IF(BF68&gt;=2.7,Wellabove,
IF(AND(BF68&gt;=0,BF68&lt;2.7),Average,
IF(AND(BF68&gt;=-2.6,BF68&lt;0),Below,
IF(BF68&lt;-2.6,Wellbelow,"")))))</f>
        <v/>
      </c>
      <c r="BI68" s="49"/>
      <c r="BJ68" s="157"/>
      <c r="BL68" s="159" t="str">
        <f>IF(OR(BL$14="",BL$15="",BL$16="",BL$17="",BJ68=""),"",
IF(BJ68&gt;=2.7,Wellabove,
IF(AND(BJ68&gt;=0,BJ68&lt;2.7),Average,
IF(AND(BJ68&gt;=-2.6,BJ68&lt;0),Below,
IF(BJ68&lt;-2.6,Wellbelow,"")))))</f>
        <v/>
      </c>
      <c r="BM68" s="49"/>
      <c r="BN68" s="157"/>
      <c r="BP68" s="159" t="str">
        <f>IF(OR(BP$14="",BP$15="",BP$16="",BP$17="",BN68=""),"",
IF(BN68&gt;=2.7,Wellabove,
IF(AND(BN68&gt;=0,BN68&lt;2.7),Average,
IF(AND(BN68&gt;=-2.6,BN68&lt;0),Below,
IF(BN68&lt;-2.6,Wellbelow,"")))))</f>
        <v/>
      </c>
      <c r="BQ68" s="49"/>
      <c r="BR68" s="157"/>
      <c r="BT68" s="159" t="str">
        <f>IF(OR(BT$14="",BT$15="",BT$16="",BT$17="",BR68=""),"",
IF(BR68&gt;=2.7,Wellabove,
IF(AND(BR68&gt;=0,BR68&lt;2.7),Average,
IF(AND(BR68&gt;=-2.6,BR68&lt;0),Below,
IF(BR68&lt;-2.6,Wellbelow,"")))))</f>
        <v/>
      </c>
      <c r="BU68" s="49"/>
      <c r="BV68" s="157"/>
      <c r="BX68" s="159" t="str">
        <f>IF(OR(BX$14="",BX$15="",BX$16="",BX$17="",BV68=""),"",
IF(BV68&gt;=2.7,Wellabove,
IF(AND(BV68&gt;=0,BV68&lt;2.7),Average,
IF(AND(BV68&gt;=-2.6,BV68&lt;0),Below,
IF(BV68&lt;-2.6,Wellbelow,"")))))</f>
        <v/>
      </c>
      <c r="BY68" s="49"/>
      <c r="BZ68" s="157"/>
      <c r="CB68" s="159" t="str">
        <f>IF(OR(CB$14="",CB$15="",CB$16="",CB$17="",BZ68=""),"",
IF(BZ68&gt;=2.7,Wellabove,
IF(AND(BZ68&gt;=0,BZ68&lt;2.7),Average,
IF(AND(BZ68&gt;=-2.6,BZ68&lt;0),Below,
IF(BZ68&lt;-2.6,Wellbelow,"")))))</f>
        <v/>
      </c>
      <c r="CC68" s="49"/>
      <c r="CD68" s="157"/>
      <c r="CF68" s="159" t="str">
        <f>IF(OR(CF$14="",CF$15="",CF$16="",CF$17="",CD68=""),"",
IF(CD68&gt;=2.7,Wellabove,
IF(AND(CD68&gt;=0,CD68&lt;2.7),Average,
IF(AND(CD68&gt;=-2.6,CD68&lt;0),Below,
IF(CD68&lt;-2.6,Wellbelow,"")))))</f>
        <v/>
      </c>
      <c r="CG68" s="7"/>
    </row>
    <row r="69" spans="2:85" ht="17.100000000000001" customHeight="1" x14ac:dyDescent="0.2">
      <c r="B69" s="6"/>
      <c r="C69" s="223" t="s">
        <v>11</v>
      </c>
      <c r="D69" s="219" t="s">
        <v>58</v>
      </c>
      <c r="E69" s="49"/>
      <c r="F69" s="157"/>
      <c r="H69" s="159" t="str">
        <f>IF(OR(H$14="",H$15="",H$16="",H$17="",F69=""),"",
IF(F69&gt;=3.2,Wellabove,
IF(AND(F69&gt;=0,F69&lt;3.2),Average,
IF(AND(F69&gt;=-3.2,F69&lt;0),Below,
IF(F69&lt;-3.2,Wellbelow,"")))))</f>
        <v/>
      </c>
      <c r="I69" s="49"/>
      <c r="J69" s="157"/>
      <c r="L69" s="159" t="str">
        <f>IF(OR(L$14="",L$15="",L$16="",L$17="",J69=""),"",
IF(J69&gt;=3.2,Wellabove,
IF(AND(J69&gt;=0,J69&lt;3.2),Average,
IF(AND(J69&gt;=-3.2,J69&lt;0),Below,
IF(J69&lt;-3.2,Wellbelow,"")))))</f>
        <v/>
      </c>
      <c r="M69" s="49"/>
      <c r="N69" s="157"/>
      <c r="P69" s="159" t="str">
        <f>IF(OR(P$14="",P$15="",P$16="",P$17="",N69=""),"",
IF(N69&gt;=3.2,Wellabove,
IF(AND(N69&gt;=0,N69&lt;3.2),Average,
IF(AND(N69&gt;=-3.2,N69&lt;0),Below,
IF(N69&lt;-3.2,Wellbelow,"")))))</f>
        <v/>
      </c>
      <c r="Q69" s="49"/>
      <c r="R69" s="157"/>
      <c r="T69" s="159" t="str">
        <f>IF(OR(T$14="",T$15="",T$16="",T$17="",R69=""),"",
IF(R69&gt;=3.2,Wellabove,
IF(AND(R69&gt;=0,R69&lt;3.2),Average,
IF(AND(R69&gt;=-3.2,R69&lt;0),Below,
IF(R69&lt;-3.2,Wellbelow,"")))))</f>
        <v/>
      </c>
      <c r="U69" s="49"/>
      <c r="V69" s="157"/>
      <c r="X69" s="159" t="str">
        <f>IF(OR(X$14="",X$15="",X$16="",X$17="",V69=""),"",
IF(V69&gt;=3.2,Wellabove,
IF(AND(V69&gt;=0,V69&lt;3.2),Average,
IF(AND(V69&gt;=-3.2,V69&lt;0),Below,
IF(V69&lt;-3.2,Wellbelow,"")))))</f>
        <v/>
      </c>
      <c r="Y69" s="49"/>
      <c r="Z69" s="157"/>
      <c r="AB69" s="159" t="str">
        <f>IF(OR(AB$14="",AB$15="",AB$16="",AB$17="",Z69=""),"",
IF(Z69&gt;=3.2,Wellabove,
IF(AND(Z69&gt;=0,Z69&lt;3.2),Average,
IF(AND(Z69&gt;=-3.2,Z69&lt;0),Below,
IF(Z69&lt;-3.2,Wellbelow,"")))))</f>
        <v/>
      </c>
      <c r="AC69" s="49"/>
      <c r="AD69" s="157"/>
      <c r="AF69" s="159" t="str">
        <f>IF(OR(AF$14="",AF$15="",AF$16="",AF$17="",AD69=""),"",
IF(AD69&gt;=3.2,Wellabove,
IF(AND(AD69&gt;=0,AD69&lt;3.2),Average,
IF(AND(AD69&gt;=-3.2,AD69&lt;0),Below,
IF(AD69&lt;-3.2,Wellbelow,"")))))</f>
        <v/>
      </c>
      <c r="AG69" s="49"/>
      <c r="AH69" s="157"/>
      <c r="AJ69" s="159" t="str">
        <f>IF(OR(AJ$14="",AJ$15="",AJ$16="",AJ$17="",AH69=""),"",
IF(AH69&gt;=3.2,Wellabove,
IF(AND(AH69&gt;=0,AH69&lt;3.2),Average,
IF(AND(AH69&gt;=-3.2,AH69&lt;0),Below,
IF(AH69&lt;-3.2,Wellbelow,"")))))</f>
        <v/>
      </c>
      <c r="AK69" s="49"/>
      <c r="AL69" s="157"/>
      <c r="AN69" s="159" t="str">
        <f>IF(OR(AN$14="",AN$15="",AN$16="",AN$17="",AL69=""),"",
IF(AL69&gt;=3.2,Wellabove,
IF(AND(AL69&gt;=0,AL69&lt;3.2),Average,
IF(AND(AL69&gt;=-3.2,AL69&lt;0),Below,
IF(AL69&lt;-3.2,Wellbelow,"")))))</f>
        <v/>
      </c>
      <c r="AO69" s="49"/>
      <c r="AP69" s="157"/>
      <c r="AR69" s="159" t="str">
        <f>IF(OR(AR$14="",AR$15="",AR$16="",AR$17="",AP69=""),"",
IF(AP69&gt;=3.2,Wellabove,
IF(AND(AP69&gt;=0,AP69&lt;3.2),Average,
IF(AND(AP69&gt;=-3.2,AP69&lt;0),Below,
IF(AP69&lt;-3.2,Wellbelow,"")))))</f>
        <v/>
      </c>
      <c r="AS69" s="49"/>
      <c r="AT69" s="157"/>
      <c r="AV69" s="159" t="str">
        <f>IF(OR(AV$14="",AV$15="",AV$16="",AV$17="",AT69=""),"",
IF(AT69&gt;=3.2,Wellabove,
IF(AND(AT69&gt;=0,AT69&lt;3.2),Average,
IF(AND(AT69&gt;=-3.2,AT69&lt;0),Below,
IF(AT69&lt;-3.2,Wellbelow,"")))))</f>
        <v/>
      </c>
      <c r="AW69" s="49"/>
      <c r="AX69" s="157"/>
      <c r="AZ69" s="159" t="str">
        <f>IF(OR(AZ$14="",AZ$15="",AZ$16="",AZ$17="",AX69=""),"",
IF(AX69&gt;=3.2,Wellabove,
IF(AND(AX69&gt;=0,AX69&lt;3.2),Average,
IF(AND(AX69&gt;=-3.2,AX69&lt;0),Below,
IF(AX69&lt;-3.2,Wellbelow,"")))))</f>
        <v/>
      </c>
      <c r="BA69" s="49"/>
      <c r="BB69" s="157"/>
      <c r="BD69" s="159" t="str">
        <f>IF(OR(BD$14="",BD$15="",BD$16="",BD$17="",BB69=""),"",
IF(BB69&gt;=3.2,Wellabove,
IF(AND(BB69&gt;=0,BB69&lt;3.2),Average,
IF(AND(BB69&gt;=-3.2,BB69&lt;0),Below,
IF(BB69&lt;-3.2,Wellbelow,"")))))</f>
        <v/>
      </c>
      <c r="BE69" s="49"/>
      <c r="BF69" s="157"/>
      <c r="BH69" s="159" t="str">
        <f>IF(OR(BH$14="",BH$15="",BH$16="",BH$17="",BF69=""),"",
IF(BF69&gt;=3.2,Wellabove,
IF(AND(BF69&gt;=0,BF69&lt;3.2),Average,
IF(AND(BF69&gt;=-3.2,BF69&lt;0),Below,
IF(BF69&lt;-3.2,Wellbelow,"")))))</f>
        <v/>
      </c>
      <c r="BI69" s="49"/>
      <c r="BJ69" s="157"/>
      <c r="BL69" s="159" t="str">
        <f>IF(OR(BL$14="",BL$15="",BL$16="",BL$17="",BJ69=""),"",
IF(BJ69&gt;=3.2,Wellabove,
IF(AND(BJ69&gt;=0,BJ69&lt;3.2),Average,
IF(AND(BJ69&gt;=-3.2,BJ69&lt;0),Below,
IF(BJ69&lt;-3.2,Wellbelow,"")))))</f>
        <v/>
      </c>
      <c r="BM69" s="49"/>
      <c r="BN69" s="157"/>
      <c r="BP69" s="159" t="str">
        <f>IF(OR(BP$14="",BP$15="",BP$16="",BP$17="",BN69=""),"",
IF(BN69&gt;=3.2,Wellabove,
IF(AND(BN69&gt;=0,BN69&lt;3.2),Average,
IF(AND(BN69&gt;=-3.2,BN69&lt;0),Below,
IF(BN69&lt;-3.2,Wellbelow,"")))))</f>
        <v/>
      </c>
      <c r="BQ69" s="49"/>
      <c r="BR69" s="157"/>
      <c r="BT69" s="159" t="str">
        <f>IF(OR(BT$14="",BT$15="",BT$16="",BT$17="",BR69=""),"",
IF(BR69&gt;=3.2,Wellabove,
IF(AND(BR69&gt;=0,BR69&lt;3.2),Average,
IF(AND(BR69&gt;=-3.2,BR69&lt;0),Below,
IF(BR69&lt;-3.2,Wellbelow,"")))))</f>
        <v/>
      </c>
      <c r="BU69" s="49"/>
      <c r="BV69" s="157"/>
      <c r="BX69" s="159" t="str">
        <f>IF(OR(BX$14="",BX$15="",BX$16="",BX$17="",BV69=""),"",
IF(BV69&gt;=3.2,Wellabove,
IF(AND(BV69&gt;=0,BV69&lt;3.2),Average,
IF(AND(BV69&gt;=-3.2,BV69&lt;0),Below,
IF(BV69&lt;-3.2,Wellbelow,"")))))</f>
        <v/>
      </c>
      <c r="BY69" s="49"/>
      <c r="BZ69" s="157"/>
      <c r="CB69" s="159" t="str">
        <f>IF(OR(CB$14="",CB$15="",CB$16="",CB$17="",BZ69=""),"",
IF(BZ69&gt;=3.2,Wellabove,
IF(AND(BZ69&gt;=0,BZ69&lt;3.2),Average,
IF(AND(BZ69&gt;=-3.2,BZ69&lt;0),Below,
IF(BZ69&lt;-3.2,Wellbelow,"")))))</f>
        <v/>
      </c>
      <c r="CC69" s="49"/>
      <c r="CD69" s="157"/>
      <c r="CF69" s="159" t="str">
        <f>IF(OR(CF$14="",CF$15="",CF$16="",CF$17="",CD69=""),"",
IF(CD69&gt;=3.2,Wellabove,
IF(AND(CD69&gt;=0,CD69&lt;3.2),Average,
IF(AND(CD69&gt;=-3.2,CD69&lt;0),Below,
IF(CD69&lt;-3.2,Wellbelow,"")))))</f>
        <v/>
      </c>
      <c r="CG69" s="7"/>
    </row>
    <row r="70" spans="2:85" ht="17.100000000000001" customHeight="1" x14ac:dyDescent="0.2">
      <c r="B70" s="6"/>
      <c r="C70" s="49"/>
      <c r="D70" s="50"/>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7"/>
    </row>
    <row r="71" spans="2:85" ht="17.100000000000001" customHeight="1" x14ac:dyDescent="0.2">
      <c r="B71" s="6"/>
      <c r="C71" s="290" t="s">
        <v>60</v>
      </c>
      <c r="D71" s="290"/>
      <c r="E71" s="164"/>
      <c r="F71" s="164"/>
      <c r="G71" s="164"/>
      <c r="H71" s="164"/>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7"/>
    </row>
    <row r="72" spans="2:85" ht="4.1500000000000004" customHeight="1" x14ac:dyDescent="0.2">
      <c r="B72" s="6"/>
      <c r="C72" s="51"/>
      <c r="D72" s="50"/>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7"/>
    </row>
    <row r="73" spans="2:85" ht="17.100000000000001" customHeight="1" x14ac:dyDescent="0.2">
      <c r="B73" s="6"/>
      <c r="C73" s="325" t="s">
        <v>59</v>
      </c>
      <c r="D73" s="327"/>
      <c r="E73" s="148"/>
      <c r="F73" s="325" t="s">
        <v>59</v>
      </c>
      <c r="G73" s="326"/>
      <c r="H73" s="327"/>
      <c r="I73" s="148"/>
      <c r="J73" s="325" t="s">
        <v>59</v>
      </c>
      <c r="K73" s="326"/>
      <c r="L73" s="327"/>
      <c r="M73" s="148"/>
      <c r="N73" s="325" t="s">
        <v>59</v>
      </c>
      <c r="O73" s="326"/>
      <c r="P73" s="327"/>
      <c r="Q73" s="148"/>
      <c r="R73" s="325" t="s">
        <v>59</v>
      </c>
      <c r="S73" s="326"/>
      <c r="T73" s="327"/>
      <c r="U73" s="148"/>
      <c r="V73" s="325" t="s">
        <v>59</v>
      </c>
      <c r="W73" s="326"/>
      <c r="X73" s="327"/>
      <c r="Y73" s="148"/>
      <c r="Z73" s="325" t="s">
        <v>59</v>
      </c>
      <c r="AA73" s="326"/>
      <c r="AB73" s="327"/>
      <c r="AC73" s="148"/>
      <c r="AD73" s="325" t="s">
        <v>59</v>
      </c>
      <c r="AE73" s="326"/>
      <c r="AF73" s="327"/>
      <c r="AG73" s="148"/>
      <c r="AH73" s="325" t="s">
        <v>59</v>
      </c>
      <c r="AI73" s="326"/>
      <c r="AJ73" s="327"/>
      <c r="AK73" s="148"/>
      <c r="AL73" s="325" t="s">
        <v>59</v>
      </c>
      <c r="AM73" s="326"/>
      <c r="AN73" s="327"/>
      <c r="AO73" s="148"/>
      <c r="AP73" s="325" t="s">
        <v>59</v>
      </c>
      <c r="AQ73" s="326"/>
      <c r="AR73" s="327"/>
      <c r="AS73" s="148"/>
      <c r="AT73" s="325" t="s">
        <v>59</v>
      </c>
      <c r="AU73" s="326"/>
      <c r="AV73" s="327"/>
      <c r="AW73" s="148"/>
      <c r="AX73" s="325" t="s">
        <v>59</v>
      </c>
      <c r="AY73" s="326"/>
      <c r="AZ73" s="327"/>
      <c r="BA73" s="148"/>
      <c r="BB73" s="325" t="s">
        <v>59</v>
      </c>
      <c r="BC73" s="326"/>
      <c r="BD73" s="327"/>
      <c r="BE73" s="148"/>
      <c r="BF73" s="325" t="s">
        <v>59</v>
      </c>
      <c r="BG73" s="326"/>
      <c r="BH73" s="327"/>
      <c r="BI73" s="148"/>
      <c r="BJ73" s="325" t="s">
        <v>59</v>
      </c>
      <c r="BK73" s="326"/>
      <c r="BL73" s="327"/>
      <c r="BM73" s="148"/>
      <c r="BN73" s="325" t="s">
        <v>59</v>
      </c>
      <c r="BO73" s="326"/>
      <c r="BP73" s="327"/>
      <c r="BQ73" s="148"/>
      <c r="BR73" s="325" t="s">
        <v>59</v>
      </c>
      <c r="BS73" s="326"/>
      <c r="BT73" s="327"/>
      <c r="BU73" s="148"/>
      <c r="BV73" s="325" t="s">
        <v>59</v>
      </c>
      <c r="BW73" s="326"/>
      <c r="BX73" s="327"/>
      <c r="BY73" s="148"/>
      <c r="BZ73" s="325" t="s">
        <v>59</v>
      </c>
      <c r="CA73" s="326"/>
      <c r="CB73" s="327"/>
      <c r="CC73" s="148"/>
      <c r="CD73" s="325" t="s">
        <v>59</v>
      </c>
      <c r="CE73" s="326"/>
      <c r="CF73" s="327"/>
      <c r="CG73" s="7"/>
    </row>
    <row r="74" spans="2:85" ht="17.100000000000001" customHeight="1" x14ac:dyDescent="0.2">
      <c r="B74" s="6"/>
      <c r="C74" s="328"/>
      <c r="D74" s="330"/>
      <c r="E74" s="148"/>
      <c r="F74" s="328"/>
      <c r="G74" s="329"/>
      <c r="H74" s="330"/>
      <c r="I74" s="148"/>
      <c r="J74" s="328"/>
      <c r="K74" s="329"/>
      <c r="L74" s="330"/>
      <c r="M74" s="148"/>
      <c r="N74" s="328"/>
      <c r="O74" s="329"/>
      <c r="P74" s="330"/>
      <c r="Q74" s="148"/>
      <c r="R74" s="328"/>
      <c r="S74" s="329"/>
      <c r="T74" s="330"/>
      <c r="U74" s="148"/>
      <c r="V74" s="328"/>
      <c r="W74" s="329"/>
      <c r="X74" s="330"/>
      <c r="Y74" s="148"/>
      <c r="Z74" s="328"/>
      <c r="AA74" s="329"/>
      <c r="AB74" s="330"/>
      <c r="AC74" s="148"/>
      <c r="AD74" s="328"/>
      <c r="AE74" s="329"/>
      <c r="AF74" s="330"/>
      <c r="AG74" s="148"/>
      <c r="AH74" s="328"/>
      <c r="AI74" s="329"/>
      <c r="AJ74" s="330"/>
      <c r="AK74" s="148"/>
      <c r="AL74" s="328"/>
      <c r="AM74" s="329"/>
      <c r="AN74" s="330"/>
      <c r="AO74" s="148"/>
      <c r="AP74" s="328"/>
      <c r="AQ74" s="329"/>
      <c r="AR74" s="330"/>
      <c r="AS74" s="148"/>
      <c r="AT74" s="328"/>
      <c r="AU74" s="329"/>
      <c r="AV74" s="330"/>
      <c r="AW74" s="148"/>
      <c r="AX74" s="328"/>
      <c r="AY74" s="329"/>
      <c r="AZ74" s="330"/>
      <c r="BA74" s="148"/>
      <c r="BB74" s="328"/>
      <c r="BC74" s="329"/>
      <c r="BD74" s="330"/>
      <c r="BE74" s="148"/>
      <c r="BF74" s="328"/>
      <c r="BG74" s="329"/>
      <c r="BH74" s="330"/>
      <c r="BI74" s="148"/>
      <c r="BJ74" s="328"/>
      <c r="BK74" s="329"/>
      <c r="BL74" s="330"/>
      <c r="BM74" s="148"/>
      <c r="BN74" s="328"/>
      <c r="BO74" s="329"/>
      <c r="BP74" s="330"/>
      <c r="BQ74" s="148"/>
      <c r="BR74" s="328"/>
      <c r="BS74" s="329"/>
      <c r="BT74" s="330"/>
      <c r="BU74" s="148"/>
      <c r="BV74" s="328"/>
      <c r="BW74" s="329"/>
      <c r="BX74" s="330"/>
      <c r="BY74" s="148"/>
      <c r="BZ74" s="328"/>
      <c r="CA74" s="329"/>
      <c r="CB74" s="330"/>
      <c r="CC74" s="148"/>
      <c r="CD74" s="328"/>
      <c r="CE74" s="329"/>
      <c r="CF74" s="330"/>
      <c r="CG74" s="7"/>
    </row>
    <row r="75" spans="2:85" ht="17.100000000000001" customHeight="1" x14ac:dyDescent="0.2">
      <c r="B75" s="6"/>
      <c r="C75" s="328"/>
      <c r="D75" s="330"/>
      <c r="E75" s="148"/>
      <c r="F75" s="328"/>
      <c r="G75" s="329"/>
      <c r="H75" s="330"/>
      <c r="I75" s="148"/>
      <c r="J75" s="328"/>
      <c r="K75" s="329"/>
      <c r="L75" s="330"/>
      <c r="M75" s="148"/>
      <c r="N75" s="328"/>
      <c r="O75" s="329"/>
      <c r="P75" s="330"/>
      <c r="Q75" s="148"/>
      <c r="R75" s="328"/>
      <c r="S75" s="329"/>
      <c r="T75" s="330"/>
      <c r="U75" s="148"/>
      <c r="V75" s="328"/>
      <c r="W75" s="329"/>
      <c r="X75" s="330"/>
      <c r="Y75" s="148"/>
      <c r="Z75" s="328"/>
      <c r="AA75" s="329"/>
      <c r="AB75" s="330"/>
      <c r="AC75" s="148"/>
      <c r="AD75" s="328"/>
      <c r="AE75" s="329"/>
      <c r="AF75" s="330"/>
      <c r="AG75" s="148"/>
      <c r="AH75" s="328"/>
      <c r="AI75" s="329"/>
      <c r="AJ75" s="330"/>
      <c r="AK75" s="148"/>
      <c r="AL75" s="328"/>
      <c r="AM75" s="329"/>
      <c r="AN75" s="330"/>
      <c r="AO75" s="148"/>
      <c r="AP75" s="328"/>
      <c r="AQ75" s="329"/>
      <c r="AR75" s="330"/>
      <c r="AS75" s="148"/>
      <c r="AT75" s="328"/>
      <c r="AU75" s="329"/>
      <c r="AV75" s="330"/>
      <c r="AW75" s="148"/>
      <c r="AX75" s="328"/>
      <c r="AY75" s="329"/>
      <c r="AZ75" s="330"/>
      <c r="BA75" s="148"/>
      <c r="BB75" s="328"/>
      <c r="BC75" s="329"/>
      <c r="BD75" s="330"/>
      <c r="BE75" s="148"/>
      <c r="BF75" s="328"/>
      <c r="BG75" s="329"/>
      <c r="BH75" s="330"/>
      <c r="BI75" s="148"/>
      <c r="BJ75" s="328"/>
      <c r="BK75" s="329"/>
      <c r="BL75" s="330"/>
      <c r="BM75" s="148"/>
      <c r="BN75" s="328"/>
      <c r="BO75" s="329"/>
      <c r="BP75" s="330"/>
      <c r="BQ75" s="148"/>
      <c r="BR75" s="328"/>
      <c r="BS75" s="329"/>
      <c r="BT75" s="330"/>
      <c r="BU75" s="148"/>
      <c r="BV75" s="328"/>
      <c r="BW75" s="329"/>
      <c r="BX75" s="330"/>
      <c r="BY75" s="148"/>
      <c r="BZ75" s="328"/>
      <c r="CA75" s="329"/>
      <c r="CB75" s="330"/>
      <c r="CC75" s="148"/>
      <c r="CD75" s="328"/>
      <c r="CE75" s="329"/>
      <c r="CF75" s="330"/>
      <c r="CG75" s="7"/>
    </row>
    <row r="76" spans="2:85" ht="17.100000000000001" customHeight="1" x14ac:dyDescent="0.2">
      <c r="B76" s="6"/>
      <c r="C76" s="328"/>
      <c r="D76" s="330"/>
      <c r="E76" s="148"/>
      <c r="F76" s="328"/>
      <c r="G76" s="329"/>
      <c r="H76" s="330"/>
      <c r="I76" s="148"/>
      <c r="J76" s="328"/>
      <c r="K76" s="329"/>
      <c r="L76" s="330"/>
      <c r="M76" s="148"/>
      <c r="N76" s="328"/>
      <c r="O76" s="329"/>
      <c r="P76" s="330"/>
      <c r="Q76" s="148"/>
      <c r="R76" s="328"/>
      <c r="S76" s="329"/>
      <c r="T76" s="330"/>
      <c r="U76" s="148"/>
      <c r="V76" s="328"/>
      <c r="W76" s="329"/>
      <c r="X76" s="330"/>
      <c r="Y76" s="148"/>
      <c r="Z76" s="328"/>
      <c r="AA76" s="329"/>
      <c r="AB76" s="330"/>
      <c r="AC76" s="148"/>
      <c r="AD76" s="328"/>
      <c r="AE76" s="329"/>
      <c r="AF76" s="330"/>
      <c r="AG76" s="148"/>
      <c r="AH76" s="328"/>
      <c r="AI76" s="329"/>
      <c r="AJ76" s="330"/>
      <c r="AK76" s="148"/>
      <c r="AL76" s="328"/>
      <c r="AM76" s="329"/>
      <c r="AN76" s="330"/>
      <c r="AO76" s="148"/>
      <c r="AP76" s="328"/>
      <c r="AQ76" s="329"/>
      <c r="AR76" s="330"/>
      <c r="AS76" s="148"/>
      <c r="AT76" s="328"/>
      <c r="AU76" s="329"/>
      <c r="AV76" s="330"/>
      <c r="AW76" s="148"/>
      <c r="AX76" s="328"/>
      <c r="AY76" s="329"/>
      <c r="AZ76" s="330"/>
      <c r="BA76" s="148"/>
      <c r="BB76" s="328"/>
      <c r="BC76" s="329"/>
      <c r="BD76" s="330"/>
      <c r="BE76" s="148"/>
      <c r="BF76" s="328"/>
      <c r="BG76" s="329"/>
      <c r="BH76" s="330"/>
      <c r="BI76" s="148"/>
      <c r="BJ76" s="328"/>
      <c r="BK76" s="329"/>
      <c r="BL76" s="330"/>
      <c r="BM76" s="148"/>
      <c r="BN76" s="328"/>
      <c r="BO76" s="329"/>
      <c r="BP76" s="330"/>
      <c r="BQ76" s="148"/>
      <c r="BR76" s="328"/>
      <c r="BS76" s="329"/>
      <c r="BT76" s="330"/>
      <c r="BU76" s="148"/>
      <c r="BV76" s="328"/>
      <c r="BW76" s="329"/>
      <c r="BX76" s="330"/>
      <c r="BY76" s="148"/>
      <c r="BZ76" s="328"/>
      <c r="CA76" s="329"/>
      <c r="CB76" s="330"/>
      <c r="CC76" s="148"/>
      <c r="CD76" s="328"/>
      <c r="CE76" s="329"/>
      <c r="CF76" s="330"/>
      <c r="CG76" s="7"/>
    </row>
    <row r="77" spans="2:85" ht="17.100000000000001" customHeight="1" x14ac:dyDescent="0.2">
      <c r="B77" s="6"/>
      <c r="C77" s="328"/>
      <c r="D77" s="330"/>
      <c r="E77" s="148"/>
      <c r="F77" s="328"/>
      <c r="G77" s="329"/>
      <c r="H77" s="330"/>
      <c r="I77" s="148"/>
      <c r="J77" s="328"/>
      <c r="K77" s="329"/>
      <c r="L77" s="330"/>
      <c r="M77" s="148"/>
      <c r="N77" s="328"/>
      <c r="O77" s="329"/>
      <c r="P77" s="330"/>
      <c r="Q77" s="148"/>
      <c r="R77" s="328"/>
      <c r="S77" s="329"/>
      <c r="T77" s="330"/>
      <c r="U77" s="148"/>
      <c r="V77" s="328"/>
      <c r="W77" s="329"/>
      <c r="X77" s="330"/>
      <c r="Y77" s="148"/>
      <c r="Z77" s="328"/>
      <c r="AA77" s="329"/>
      <c r="AB77" s="330"/>
      <c r="AC77" s="148"/>
      <c r="AD77" s="328"/>
      <c r="AE77" s="329"/>
      <c r="AF77" s="330"/>
      <c r="AG77" s="148"/>
      <c r="AH77" s="328"/>
      <c r="AI77" s="329"/>
      <c r="AJ77" s="330"/>
      <c r="AK77" s="148"/>
      <c r="AL77" s="328"/>
      <c r="AM77" s="329"/>
      <c r="AN77" s="330"/>
      <c r="AO77" s="148"/>
      <c r="AP77" s="328"/>
      <c r="AQ77" s="329"/>
      <c r="AR77" s="330"/>
      <c r="AS77" s="148"/>
      <c r="AT77" s="328"/>
      <c r="AU77" s="329"/>
      <c r="AV77" s="330"/>
      <c r="AW77" s="148"/>
      <c r="AX77" s="328"/>
      <c r="AY77" s="329"/>
      <c r="AZ77" s="330"/>
      <c r="BA77" s="148"/>
      <c r="BB77" s="328"/>
      <c r="BC77" s="329"/>
      <c r="BD77" s="330"/>
      <c r="BE77" s="148"/>
      <c r="BF77" s="328"/>
      <c r="BG77" s="329"/>
      <c r="BH77" s="330"/>
      <c r="BI77" s="148"/>
      <c r="BJ77" s="328"/>
      <c r="BK77" s="329"/>
      <c r="BL77" s="330"/>
      <c r="BM77" s="148"/>
      <c r="BN77" s="328"/>
      <c r="BO77" s="329"/>
      <c r="BP77" s="330"/>
      <c r="BQ77" s="148"/>
      <c r="BR77" s="328"/>
      <c r="BS77" s="329"/>
      <c r="BT77" s="330"/>
      <c r="BU77" s="148"/>
      <c r="BV77" s="328"/>
      <c r="BW77" s="329"/>
      <c r="BX77" s="330"/>
      <c r="BY77" s="148"/>
      <c r="BZ77" s="328"/>
      <c r="CA77" s="329"/>
      <c r="CB77" s="330"/>
      <c r="CC77" s="148"/>
      <c r="CD77" s="328"/>
      <c r="CE77" s="329"/>
      <c r="CF77" s="330"/>
      <c r="CG77" s="7"/>
    </row>
    <row r="78" spans="2:85" ht="17.100000000000001" customHeight="1" x14ac:dyDescent="0.2">
      <c r="B78" s="6"/>
      <c r="C78" s="328"/>
      <c r="D78" s="330"/>
      <c r="E78" s="148"/>
      <c r="F78" s="328"/>
      <c r="G78" s="329"/>
      <c r="H78" s="330"/>
      <c r="I78" s="148"/>
      <c r="J78" s="328"/>
      <c r="K78" s="329"/>
      <c r="L78" s="330"/>
      <c r="M78" s="148"/>
      <c r="N78" s="328"/>
      <c r="O78" s="329"/>
      <c r="P78" s="330"/>
      <c r="Q78" s="148"/>
      <c r="R78" s="328"/>
      <c r="S78" s="329"/>
      <c r="T78" s="330"/>
      <c r="U78" s="148"/>
      <c r="V78" s="328"/>
      <c r="W78" s="329"/>
      <c r="X78" s="330"/>
      <c r="Y78" s="148"/>
      <c r="Z78" s="328"/>
      <c r="AA78" s="329"/>
      <c r="AB78" s="330"/>
      <c r="AC78" s="148"/>
      <c r="AD78" s="328"/>
      <c r="AE78" s="329"/>
      <c r="AF78" s="330"/>
      <c r="AG78" s="148"/>
      <c r="AH78" s="328"/>
      <c r="AI78" s="329"/>
      <c r="AJ78" s="330"/>
      <c r="AK78" s="148"/>
      <c r="AL78" s="328"/>
      <c r="AM78" s="329"/>
      <c r="AN78" s="330"/>
      <c r="AO78" s="148"/>
      <c r="AP78" s="328"/>
      <c r="AQ78" s="329"/>
      <c r="AR78" s="330"/>
      <c r="AS78" s="148"/>
      <c r="AT78" s="328"/>
      <c r="AU78" s="329"/>
      <c r="AV78" s="330"/>
      <c r="AW78" s="148"/>
      <c r="AX78" s="328"/>
      <c r="AY78" s="329"/>
      <c r="AZ78" s="330"/>
      <c r="BA78" s="148"/>
      <c r="BB78" s="328"/>
      <c r="BC78" s="329"/>
      <c r="BD78" s="330"/>
      <c r="BE78" s="148"/>
      <c r="BF78" s="328"/>
      <c r="BG78" s="329"/>
      <c r="BH78" s="330"/>
      <c r="BI78" s="148"/>
      <c r="BJ78" s="328"/>
      <c r="BK78" s="329"/>
      <c r="BL78" s="330"/>
      <c r="BM78" s="148"/>
      <c r="BN78" s="328"/>
      <c r="BO78" s="329"/>
      <c r="BP78" s="330"/>
      <c r="BQ78" s="148"/>
      <c r="BR78" s="328"/>
      <c r="BS78" s="329"/>
      <c r="BT78" s="330"/>
      <c r="BU78" s="148"/>
      <c r="BV78" s="328"/>
      <c r="BW78" s="329"/>
      <c r="BX78" s="330"/>
      <c r="BY78" s="148"/>
      <c r="BZ78" s="328"/>
      <c r="CA78" s="329"/>
      <c r="CB78" s="330"/>
      <c r="CC78" s="148"/>
      <c r="CD78" s="328"/>
      <c r="CE78" s="329"/>
      <c r="CF78" s="330"/>
      <c r="CG78" s="7"/>
    </row>
    <row r="79" spans="2:85" ht="17.100000000000001" customHeight="1" x14ac:dyDescent="0.2">
      <c r="B79" s="6"/>
      <c r="C79" s="331"/>
      <c r="D79" s="333"/>
      <c r="E79" s="148"/>
      <c r="F79" s="331"/>
      <c r="G79" s="332"/>
      <c r="H79" s="333"/>
      <c r="I79" s="148"/>
      <c r="J79" s="331"/>
      <c r="K79" s="332"/>
      <c r="L79" s="333"/>
      <c r="M79" s="148"/>
      <c r="N79" s="331"/>
      <c r="O79" s="332"/>
      <c r="P79" s="333"/>
      <c r="Q79" s="148"/>
      <c r="R79" s="331"/>
      <c r="S79" s="332"/>
      <c r="T79" s="333"/>
      <c r="U79" s="148"/>
      <c r="V79" s="331"/>
      <c r="W79" s="332"/>
      <c r="X79" s="333"/>
      <c r="Y79" s="148"/>
      <c r="Z79" s="331"/>
      <c r="AA79" s="332"/>
      <c r="AB79" s="333"/>
      <c r="AC79" s="148"/>
      <c r="AD79" s="331"/>
      <c r="AE79" s="332"/>
      <c r="AF79" s="333"/>
      <c r="AG79" s="148"/>
      <c r="AH79" s="331"/>
      <c r="AI79" s="332"/>
      <c r="AJ79" s="333"/>
      <c r="AK79" s="148"/>
      <c r="AL79" s="331"/>
      <c r="AM79" s="332"/>
      <c r="AN79" s="333"/>
      <c r="AO79" s="148"/>
      <c r="AP79" s="331"/>
      <c r="AQ79" s="332"/>
      <c r="AR79" s="333"/>
      <c r="AS79" s="148"/>
      <c r="AT79" s="331"/>
      <c r="AU79" s="332"/>
      <c r="AV79" s="333"/>
      <c r="AW79" s="148"/>
      <c r="AX79" s="331"/>
      <c r="AY79" s="332"/>
      <c r="AZ79" s="333"/>
      <c r="BA79" s="148"/>
      <c r="BB79" s="331"/>
      <c r="BC79" s="332"/>
      <c r="BD79" s="333"/>
      <c r="BE79" s="148"/>
      <c r="BF79" s="331"/>
      <c r="BG79" s="332"/>
      <c r="BH79" s="333"/>
      <c r="BI79" s="148"/>
      <c r="BJ79" s="331"/>
      <c r="BK79" s="332"/>
      <c r="BL79" s="333"/>
      <c r="BM79" s="148"/>
      <c r="BN79" s="331"/>
      <c r="BO79" s="332"/>
      <c r="BP79" s="333"/>
      <c r="BQ79" s="148"/>
      <c r="BR79" s="331"/>
      <c r="BS79" s="332"/>
      <c r="BT79" s="333"/>
      <c r="BU79" s="148"/>
      <c r="BV79" s="331"/>
      <c r="BW79" s="332"/>
      <c r="BX79" s="333"/>
      <c r="BY79" s="148"/>
      <c r="BZ79" s="331"/>
      <c r="CA79" s="332"/>
      <c r="CB79" s="333"/>
      <c r="CC79" s="148"/>
      <c r="CD79" s="331"/>
      <c r="CE79" s="332"/>
      <c r="CF79" s="333"/>
      <c r="CG79" s="7"/>
    </row>
    <row r="80" spans="2:85" ht="15" thickBot="1" x14ac:dyDescent="0.25">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6"/>
    </row>
    <row r="81" ht="14.25" x14ac:dyDescent="0.2"/>
    <row r="82" ht="14.25" x14ac:dyDescent="0.2"/>
    <row r="83" ht="14.25" hidden="1" x14ac:dyDescent="0.2"/>
    <row r="84" ht="14.25" hidden="1" x14ac:dyDescent="0.2"/>
    <row r="85" ht="14.25" hidden="1" x14ac:dyDescent="0.2"/>
    <row r="86" ht="14.25" hidden="1" x14ac:dyDescent="0.2"/>
    <row r="87" ht="14.25" hidden="1" x14ac:dyDescent="0.2"/>
    <row r="88" ht="14.25" hidden="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sheetData>
  <sheetProtection algorithmName="SHA-512" hashValue="MgMTEmF9r+GUojV3YT66qLVgZGk/MPbKomCge/cb7vE2zEAk0m71qgEODPGm4OsHr7Foaavy83DfhCJ6d4Z80Q==" saltValue="zd0LYPpc3ok4siJzh5lC9A==" spinCount="100000" sheet="1" formatColumns="0" formatRows="0" insertColumns="0" insertRows="0"/>
  <protectedRanges>
    <protectedRange sqref="F55:F61 F38:F46 F65:F69 J38:J46 J50:J51 N38:N46 N50:N51 R38:R46 V38:V46 Z38:Z46 AD38:AD46 AH38:AH46 AL38:AL46 AP38:AP46 AT38:AT46 AX38:AX46 BB38:BB46 BF38:BF46 BJ38:BJ46 BN38:BN46 BR38:BR46 BV38:BV46 BZ38:BZ46 CD38:CD46 R50:R51 V50:V51 Z50:Z51 AD50:AD51 AH50:AH51 AL50:AL51 AP50:AP51 AT50:AT51 AX50:AX51 BB50:BB51 BF50:BF51 BJ50:BJ51 BN50:BN51 BR50:BR51 BV50:BV51 BZ50:BZ51 CD50:CD51 F50:F51 J55:J61 J65:J69 N55:N61 N65:N69 R55:R61 R65:R69 V55:V61 V65:V69 Z55:Z61 Z65:Z69 AD55:AD61 AD65:AD69 AH55:AH61 AH65:AH69 AL55:AL61 AL65:AL69 AP55:AP61 AP65:AP69 AT55:AT61 AT65:AT69 AX55:AX61 AX65:AX69 BB55:BB61 BB65:BB69 BF55:BF61 BF65:BF69 BJ55:BJ61 BJ65:BJ69 BN55:BN61 BN65:BN69 BR55:BR61 BR65:BR69 BV55:BV61 BV65:BV69 BZ55:BZ61 BZ65:BZ69 CD55:CD61 CD65:CD69" name="School data"/>
    <protectedRange sqref="AB13:AB17 H13:H17 L13:L17 P13:P17 X13:X17 T13:T17 AF13:AF17 AJ13:AJ17 AN13:AN17 AR13:AR17 AV13:AV17 AZ13:AZ17 BD13:BD17 BL13:BL17 BH13:BH17 BP13:BP17 BT13:BT17 BX13:BX17 CF13:CF17 CB13:CB17" name="School information"/>
  </protectedRanges>
  <mergeCells count="275">
    <mergeCell ref="BB30:BD31"/>
    <mergeCell ref="BF30:BH31"/>
    <mergeCell ref="BN27:BP29"/>
    <mergeCell ref="BJ27:BL29"/>
    <mergeCell ref="BF27:BH29"/>
    <mergeCell ref="BB27:BD29"/>
    <mergeCell ref="CD30:CF31"/>
    <mergeCell ref="BR30:BT31"/>
    <mergeCell ref="BV30:BX31"/>
    <mergeCell ref="BZ30:CB31"/>
    <mergeCell ref="CD27:CF29"/>
    <mergeCell ref="BZ27:CB29"/>
    <mergeCell ref="BV27:BX29"/>
    <mergeCell ref="BR27:BT29"/>
    <mergeCell ref="BJ30:BL31"/>
    <mergeCell ref="BN30:BP31"/>
    <mergeCell ref="BB22:BD23"/>
    <mergeCell ref="BF19:BH19"/>
    <mergeCell ref="BF20:BH21"/>
    <mergeCell ref="BF22:BH23"/>
    <mergeCell ref="CD19:CF19"/>
    <mergeCell ref="CD20:CF21"/>
    <mergeCell ref="CD22:CF23"/>
    <mergeCell ref="BR19:BT19"/>
    <mergeCell ref="BR20:BT21"/>
    <mergeCell ref="BR22:BT23"/>
    <mergeCell ref="BV19:BX19"/>
    <mergeCell ref="BV20:BX21"/>
    <mergeCell ref="BV22:BX23"/>
    <mergeCell ref="BZ19:CB19"/>
    <mergeCell ref="BZ20:CB21"/>
    <mergeCell ref="BZ22:CB23"/>
    <mergeCell ref="BJ19:BL19"/>
    <mergeCell ref="BJ20:BL21"/>
    <mergeCell ref="BJ22:BL23"/>
    <mergeCell ref="BN19:BP19"/>
    <mergeCell ref="BN20:BP21"/>
    <mergeCell ref="BN22:BP23"/>
    <mergeCell ref="BB19:BD19"/>
    <mergeCell ref="BR73:BT79"/>
    <mergeCell ref="BV73:BX79"/>
    <mergeCell ref="BZ73:CB79"/>
    <mergeCell ref="CD73:CF79"/>
    <mergeCell ref="C11:D11"/>
    <mergeCell ref="F22:H23"/>
    <mergeCell ref="F20:H21"/>
    <mergeCell ref="F25:H25"/>
    <mergeCell ref="F19:H19"/>
    <mergeCell ref="J19:L19"/>
    <mergeCell ref="J20:L21"/>
    <mergeCell ref="J22:L23"/>
    <mergeCell ref="N19:P19"/>
    <mergeCell ref="AX73:AZ79"/>
    <mergeCell ref="BB73:BD79"/>
    <mergeCell ref="BF73:BH79"/>
    <mergeCell ref="BJ73:BL79"/>
    <mergeCell ref="BN73:BP79"/>
    <mergeCell ref="BZ34:BZ35"/>
    <mergeCell ref="CB34:CB35"/>
    <mergeCell ref="CD34:CD35"/>
    <mergeCell ref="CF34:CF35"/>
    <mergeCell ref="C73:D79"/>
    <mergeCell ref="BB20:BD21"/>
    <mergeCell ref="F73:H79"/>
    <mergeCell ref="J73:L79"/>
    <mergeCell ref="N73:P79"/>
    <mergeCell ref="R73:T79"/>
    <mergeCell ref="V73:X79"/>
    <mergeCell ref="Z73:AB79"/>
    <mergeCell ref="AD73:AF79"/>
    <mergeCell ref="AH73:AJ79"/>
    <mergeCell ref="AL73:AN79"/>
    <mergeCell ref="AP73:AR79"/>
    <mergeCell ref="AT73:AV79"/>
    <mergeCell ref="BR17:BS17"/>
    <mergeCell ref="BV17:BW17"/>
    <mergeCell ref="BZ17:CA17"/>
    <mergeCell ref="CD17:CE17"/>
    <mergeCell ref="BB34:BB35"/>
    <mergeCell ref="BD34:BD35"/>
    <mergeCell ref="BF34:BF35"/>
    <mergeCell ref="BH34:BH35"/>
    <mergeCell ref="BJ34:BJ35"/>
    <mergeCell ref="BL34:BL35"/>
    <mergeCell ref="BN34:BN35"/>
    <mergeCell ref="BP34:BP35"/>
    <mergeCell ref="BR34:BR35"/>
    <mergeCell ref="BT34:BT35"/>
    <mergeCell ref="BV34:BV35"/>
    <mergeCell ref="BX34:BX35"/>
    <mergeCell ref="AZ34:AZ35"/>
    <mergeCell ref="BB17:BC17"/>
    <mergeCell ref="BF17:BG17"/>
    <mergeCell ref="BJ17:BK17"/>
    <mergeCell ref="BN17:BO17"/>
    <mergeCell ref="AX19:AZ19"/>
    <mergeCell ref="BB16:BC16"/>
    <mergeCell ref="BF16:BG16"/>
    <mergeCell ref="BJ16:BK16"/>
    <mergeCell ref="BN16:BO16"/>
    <mergeCell ref="BR16:BS16"/>
    <mergeCell ref="BV16:BW16"/>
    <mergeCell ref="BZ16:CA16"/>
    <mergeCell ref="CD16:CE16"/>
    <mergeCell ref="BB15:BC15"/>
    <mergeCell ref="BF15:BG15"/>
    <mergeCell ref="BJ15:BK15"/>
    <mergeCell ref="BN15:BO15"/>
    <mergeCell ref="AT15:AU15"/>
    <mergeCell ref="AT16:AU16"/>
    <mergeCell ref="AT17:AU17"/>
    <mergeCell ref="AT34:AT35"/>
    <mergeCell ref="BR13:BS13"/>
    <mergeCell ref="BV13:BW13"/>
    <mergeCell ref="BZ13:CA13"/>
    <mergeCell ref="CD13:CE13"/>
    <mergeCell ref="BB14:BC14"/>
    <mergeCell ref="BF14:BG14"/>
    <mergeCell ref="BJ14:BK14"/>
    <mergeCell ref="BN14:BO14"/>
    <mergeCell ref="BR14:BS14"/>
    <mergeCell ref="BV14:BW14"/>
    <mergeCell ref="BZ14:CA14"/>
    <mergeCell ref="CD14:CE14"/>
    <mergeCell ref="BB13:BC13"/>
    <mergeCell ref="BF13:BG13"/>
    <mergeCell ref="BJ13:BK13"/>
    <mergeCell ref="BN13:BO13"/>
    <mergeCell ref="BR15:BS15"/>
    <mergeCell ref="BV15:BW15"/>
    <mergeCell ref="BZ15:CA15"/>
    <mergeCell ref="CD15:CE15"/>
    <mergeCell ref="AT27:AV29"/>
    <mergeCell ref="AV34:AV35"/>
    <mergeCell ref="AP13:AQ13"/>
    <mergeCell ref="AP14:AQ14"/>
    <mergeCell ref="AP15:AQ15"/>
    <mergeCell ref="AP16:AQ16"/>
    <mergeCell ref="AP17:AQ17"/>
    <mergeCell ref="AP34:AP35"/>
    <mergeCell ref="AX13:AY13"/>
    <mergeCell ref="AX14:AY14"/>
    <mergeCell ref="AX15:AY15"/>
    <mergeCell ref="AX16:AY16"/>
    <mergeCell ref="AX17:AY17"/>
    <mergeCell ref="AX34:AX35"/>
    <mergeCell ref="AT19:AV19"/>
    <mergeCell ref="AT20:AV21"/>
    <mergeCell ref="AT22:AV23"/>
    <mergeCell ref="AT30:AV31"/>
    <mergeCell ref="AX30:AZ31"/>
    <mergeCell ref="AX20:AZ21"/>
    <mergeCell ref="AX22:AZ23"/>
    <mergeCell ref="AX27:AZ29"/>
    <mergeCell ref="AT13:AU13"/>
    <mergeCell ref="AT14:AU14"/>
    <mergeCell ref="AP27:AR29"/>
    <mergeCell ref="AR34:AR35"/>
    <mergeCell ref="AL13:AM13"/>
    <mergeCell ref="AL14:AM14"/>
    <mergeCell ref="AL15:AM15"/>
    <mergeCell ref="AL16:AM16"/>
    <mergeCell ref="AL17:AM17"/>
    <mergeCell ref="AL34:AL35"/>
    <mergeCell ref="AP19:AR19"/>
    <mergeCell ref="AP20:AR21"/>
    <mergeCell ref="AP22:AR23"/>
    <mergeCell ref="AP30:AR31"/>
    <mergeCell ref="V15:W15"/>
    <mergeCell ref="V16:W16"/>
    <mergeCell ref="AH19:AJ19"/>
    <mergeCell ref="AH20:AJ21"/>
    <mergeCell ref="AH22:AJ23"/>
    <mergeCell ref="AH30:AJ31"/>
    <mergeCell ref="AL27:AN29"/>
    <mergeCell ref="AN34:AN35"/>
    <mergeCell ref="AD34:AD35"/>
    <mergeCell ref="Z30:AB31"/>
    <mergeCell ref="AD27:AF29"/>
    <mergeCell ref="Z27:AB29"/>
    <mergeCell ref="AL19:AN19"/>
    <mergeCell ref="AL20:AN21"/>
    <mergeCell ref="AL22:AN23"/>
    <mergeCell ref="AL30:AN31"/>
    <mergeCell ref="AF34:AF35"/>
    <mergeCell ref="AH13:AI13"/>
    <mergeCell ref="AH14:AI14"/>
    <mergeCell ref="AH15:AI15"/>
    <mergeCell ref="AH16:AI16"/>
    <mergeCell ref="AH17:AI17"/>
    <mergeCell ref="AH34:AH35"/>
    <mergeCell ref="AD19:AF19"/>
    <mergeCell ref="AD20:AF21"/>
    <mergeCell ref="AD22:AF23"/>
    <mergeCell ref="AD13:AE13"/>
    <mergeCell ref="AD14:AE14"/>
    <mergeCell ref="AD15:AE15"/>
    <mergeCell ref="AD16:AE16"/>
    <mergeCell ref="AD17:AE17"/>
    <mergeCell ref="AD30:AF31"/>
    <mergeCell ref="AH27:AJ29"/>
    <mergeCell ref="AJ34:AJ35"/>
    <mergeCell ref="Z13:AA13"/>
    <mergeCell ref="Z14:AA14"/>
    <mergeCell ref="Z15:AA15"/>
    <mergeCell ref="Z16:AA16"/>
    <mergeCell ref="Z17:AA17"/>
    <mergeCell ref="Z34:Z35"/>
    <mergeCell ref="R19:T19"/>
    <mergeCell ref="R20:T21"/>
    <mergeCell ref="R22:T23"/>
    <mergeCell ref="R30:T31"/>
    <mergeCell ref="V30:X31"/>
    <mergeCell ref="V17:W17"/>
    <mergeCell ref="V34:V35"/>
    <mergeCell ref="X34:X35"/>
    <mergeCell ref="V19:X19"/>
    <mergeCell ref="V20:X21"/>
    <mergeCell ref="V22:X23"/>
    <mergeCell ref="Z19:AB19"/>
    <mergeCell ref="Z20:AB21"/>
    <mergeCell ref="Z22:AB23"/>
    <mergeCell ref="V27:X29"/>
    <mergeCell ref="AB34:AB35"/>
    <mergeCell ref="V13:W13"/>
    <mergeCell ref="V14:W14"/>
    <mergeCell ref="N34:N35"/>
    <mergeCell ref="P34:P35"/>
    <mergeCell ref="R13:S13"/>
    <mergeCell ref="R14:S14"/>
    <mergeCell ref="R15:S15"/>
    <mergeCell ref="R16:S16"/>
    <mergeCell ref="R17:S17"/>
    <mergeCell ref="R34:R35"/>
    <mergeCell ref="N20:P21"/>
    <mergeCell ref="N22:P23"/>
    <mergeCell ref="N30:P31"/>
    <mergeCell ref="N13:O13"/>
    <mergeCell ref="N14:O14"/>
    <mergeCell ref="N15:O15"/>
    <mergeCell ref="N16:O16"/>
    <mergeCell ref="N17:O17"/>
    <mergeCell ref="R27:T29"/>
    <mergeCell ref="N27:P29"/>
    <mergeCell ref="T34:T35"/>
    <mergeCell ref="J15:K15"/>
    <mergeCell ref="J16:K16"/>
    <mergeCell ref="J17:K17"/>
    <mergeCell ref="J34:J35"/>
    <mergeCell ref="L34:L35"/>
    <mergeCell ref="J30:L31"/>
    <mergeCell ref="F14:G14"/>
    <mergeCell ref="J13:K13"/>
    <mergeCell ref="J14:K14"/>
    <mergeCell ref="J27:L29"/>
    <mergeCell ref="C36:D36"/>
    <mergeCell ref="C48:D48"/>
    <mergeCell ref="C53:D53"/>
    <mergeCell ref="C63:D63"/>
    <mergeCell ref="C71:D71"/>
    <mergeCell ref="C5:D9"/>
    <mergeCell ref="C3:D3"/>
    <mergeCell ref="F34:F35"/>
    <mergeCell ref="H34:H35"/>
    <mergeCell ref="F30:H31"/>
    <mergeCell ref="F15:G15"/>
    <mergeCell ref="F16:G16"/>
    <mergeCell ref="F17:G17"/>
    <mergeCell ref="F13:G13"/>
    <mergeCell ref="C19:D21"/>
    <mergeCell ref="C13:D18"/>
    <mergeCell ref="C29:D32"/>
    <mergeCell ref="F27:H29"/>
    <mergeCell ref="C22:D24"/>
    <mergeCell ref="C25:D27"/>
  </mergeCells>
  <conditionalFormatting sqref="H38:H45 H55:H58 H61">
    <cfRule type="containsText" dxfId="1004" priority="3137" operator="containsText" text="Middle 20%">
      <formula>NOT(ISERROR(SEARCH("Middle 20%",H38)))</formula>
    </cfRule>
    <cfRule type="containsText" dxfId="1003" priority="3138" operator="containsText" text="Broadly">
      <formula>NOT(ISERROR(SEARCH("Broadly",H38)))</formula>
    </cfRule>
    <cfRule type="containsText" dxfId="1002" priority="3139" operator="containsText" text="20%">
      <formula>NOT(ISERROR(SEARCH("20%",H38)))</formula>
    </cfRule>
    <cfRule type="containsText" dxfId="1001" priority="3140" operator="containsText" text="10%">
      <formula>NOT(ISERROR(SEARCH("10%",H38)))</formula>
    </cfRule>
  </conditionalFormatting>
  <conditionalFormatting sqref="D66">
    <cfRule type="expression" dxfId="1000" priority="3112">
      <formula>OR(#REF!="Primary",#REF!="Nursery")</formula>
    </cfRule>
  </conditionalFormatting>
  <conditionalFormatting sqref="D66">
    <cfRule type="expression" dxfId="999" priority="3108">
      <formula>#REF!="Nursery"</formula>
    </cfRule>
  </conditionalFormatting>
  <conditionalFormatting sqref="I66">
    <cfRule type="expression" dxfId="998" priority="3056">
      <formula>#REF!="Nursery"</formula>
    </cfRule>
  </conditionalFormatting>
  <conditionalFormatting sqref="M66">
    <cfRule type="expression" dxfId="997" priority="3030">
      <formula>#REF!="Nursery"</formula>
    </cfRule>
  </conditionalFormatting>
  <conditionalFormatting sqref="Q66">
    <cfRule type="expression" dxfId="996" priority="3004">
      <formula>#REF!="Nursery"</formula>
    </cfRule>
  </conditionalFormatting>
  <conditionalFormatting sqref="Y66">
    <cfRule type="expression" dxfId="995" priority="2978">
      <formula>#REF!="Nursery"</formula>
    </cfRule>
  </conditionalFormatting>
  <conditionalFormatting sqref="U66">
    <cfRule type="expression" dxfId="994" priority="2952">
      <formula>#REF!="Nursery"</formula>
    </cfRule>
  </conditionalFormatting>
  <conditionalFormatting sqref="AC66">
    <cfRule type="expression" dxfId="993" priority="2926">
      <formula>#REF!="Nursery"</formula>
    </cfRule>
  </conditionalFormatting>
  <conditionalFormatting sqref="AG66">
    <cfRule type="expression" dxfId="992" priority="2900">
      <formula>#REF!="Nursery"</formula>
    </cfRule>
  </conditionalFormatting>
  <conditionalFormatting sqref="AK66">
    <cfRule type="expression" dxfId="991" priority="2874">
      <formula>#REF!="Nursery"</formula>
    </cfRule>
  </conditionalFormatting>
  <conditionalFormatting sqref="AO66">
    <cfRule type="expression" dxfId="990" priority="2848">
      <formula>#REF!="Nursery"</formula>
    </cfRule>
  </conditionalFormatting>
  <conditionalFormatting sqref="AS66">
    <cfRule type="expression" dxfId="989" priority="2822">
      <formula>#REF!="Nursery"</formula>
    </cfRule>
  </conditionalFormatting>
  <conditionalFormatting sqref="AW66">
    <cfRule type="expression" dxfId="988" priority="2796">
      <formula>#REF!="Nursery"</formula>
    </cfRule>
  </conditionalFormatting>
  <conditionalFormatting sqref="BA66">
    <cfRule type="expression" dxfId="987" priority="2770">
      <formula>#REF!="Nursery"</formula>
    </cfRule>
  </conditionalFormatting>
  <conditionalFormatting sqref="BE66">
    <cfRule type="expression" dxfId="986" priority="2744">
      <formula>#REF!="Nursery"</formula>
    </cfRule>
  </conditionalFormatting>
  <conditionalFormatting sqref="BM66">
    <cfRule type="expression" dxfId="985" priority="2718">
      <formula>#REF!="Nursery"</formula>
    </cfRule>
  </conditionalFormatting>
  <conditionalFormatting sqref="BI66">
    <cfRule type="expression" dxfId="984" priority="2692">
      <formula>#REF!="Nursery"</formula>
    </cfRule>
  </conditionalFormatting>
  <conditionalFormatting sqref="H59">
    <cfRule type="expression" dxfId="983" priority="1072">
      <formula>OR(H14="Nursery",H14="Alternative provision",H14="Special")</formula>
    </cfRule>
    <cfRule type="containsText" dxfId="982" priority="2554" operator="containsText" text="Broadly">
      <formula>NOT(ISERROR(SEARCH("Broadly",H59)))</formula>
    </cfRule>
    <cfRule type="containsText" dxfId="981" priority="2555" operator="containsText" text="Much">
      <formula>NOT(ISERROR(SEARCH("Much",H59)))</formula>
    </cfRule>
    <cfRule type="containsText" dxfId="980" priority="2556" operator="containsText" text="Than">
      <formula>NOT(ISERROR(SEARCH("Than",H59)))</formula>
    </cfRule>
  </conditionalFormatting>
  <conditionalFormatting sqref="BQ66">
    <cfRule type="expression" dxfId="979" priority="2666">
      <formula>#REF!="Nursery"</formula>
    </cfRule>
  </conditionalFormatting>
  <conditionalFormatting sqref="BU66">
    <cfRule type="expression" dxfId="978" priority="2640">
      <formula>#REF!="Nursery"</formula>
    </cfRule>
  </conditionalFormatting>
  <conditionalFormatting sqref="BY66">
    <cfRule type="expression" dxfId="977" priority="2614">
      <formula>#REF!="Nursery"</formula>
    </cfRule>
  </conditionalFormatting>
  <conditionalFormatting sqref="CC66">
    <cfRule type="expression" dxfId="976" priority="2588">
      <formula>#REF!="Nursery"</formula>
    </cfRule>
  </conditionalFormatting>
  <conditionalFormatting sqref="H50:H51">
    <cfRule type="containsText" dxfId="975" priority="2562" operator="containsText" text="Low">
      <formula>NOT(ISERROR(SEARCH("Low",H50)))</formula>
    </cfRule>
    <cfRule type="containsText" dxfId="974" priority="2563" operator="containsText" text="Medium">
      <formula>NOT(ISERROR(SEARCH("Medium",H50)))</formula>
    </cfRule>
    <cfRule type="containsText" dxfId="973" priority="2564" operator="containsText" text="High">
      <formula>NOT(ISERROR(SEARCH("High",H50)))</formula>
    </cfRule>
  </conditionalFormatting>
  <conditionalFormatting sqref="H65">
    <cfRule type="containsText" dxfId="972" priority="2549" operator="containsText" text="Outstanding">
      <formula>NOT(ISERROR(SEARCH("Outstanding",H65)))</formula>
    </cfRule>
    <cfRule type="containsText" dxfId="971" priority="2550" operator="containsText" text="Good">
      <formula>NOT(ISERROR(SEARCH("Good",H65)))</formula>
    </cfRule>
    <cfRule type="containsText" dxfId="970" priority="2551" operator="containsText" text="Requires Improvement">
      <formula>NOT(ISERROR(SEARCH("Requires Improvement",H65)))</formula>
    </cfRule>
    <cfRule type="containsText" dxfId="969" priority="2552" operator="containsText" text="Inadequate">
      <formula>NOT(ISERROR(SEARCH("Inadequate",H65)))</formula>
    </cfRule>
  </conditionalFormatting>
  <conditionalFormatting sqref="H66">
    <cfRule type="expression" dxfId="968" priority="1069">
      <formula>H14="Nursery"</formula>
    </cfRule>
    <cfRule type="expression" dxfId="967" priority="1070">
      <formula>H14="Primary"</formula>
    </cfRule>
    <cfRule type="containsText" dxfId="966" priority="2545" operator="containsText" text="Well above">
      <formula>NOT(ISERROR(SEARCH("Well above",H66)))</formula>
    </cfRule>
    <cfRule type="containsText" dxfId="965" priority="2546" operator="containsText" text="Above">
      <formula>NOT(ISERROR(SEARCH("Above",H66)))</formula>
    </cfRule>
    <cfRule type="containsText" dxfId="964" priority="2547" operator="containsText" text="Well below">
      <formula>NOT(ISERROR(SEARCH("Well below",H66)))</formula>
    </cfRule>
    <cfRule type="containsText" dxfId="963" priority="2548" operator="containsText" text="Below">
      <formula>NOT(ISERROR(SEARCH("Below",H66)))</formula>
    </cfRule>
  </conditionalFormatting>
  <conditionalFormatting sqref="H60">
    <cfRule type="containsText" dxfId="962" priority="1664" operator="containsText" text="Low">
      <formula>NOT(ISERROR(SEARCH("Low",H60)))</formula>
    </cfRule>
    <cfRule type="containsText" dxfId="961" priority="1665" operator="containsText" text="Medium">
      <formula>NOT(ISERROR(SEARCH("Medium",H60)))</formula>
    </cfRule>
    <cfRule type="containsText" dxfId="960" priority="1666" operator="containsText" text="High">
      <formula>NOT(ISERROR(SEARCH("High",H60)))</formula>
    </cfRule>
  </conditionalFormatting>
  <conditionalFormatting sqref="H67">
    <cfRule type="expression" dxfId="959" priority="1612">
      <formula>H14="Nursery"</formula>
    </cfRule>
    <cfRule type="expression" dxfId="958" priority="1613">
      <formula>OR(H14="Secondary with sixth form",H14="Secondary without sixth form")</formula>
    </cfRule>
    <cfRule type="containsText" dxfId="957" priority="1660" operator="containsText" text="Well above">
      <formula>NOT(ISERROR(SEARCH("Well above",H67)))</formula>
    </cfRule>
    <cfRule type="containsText" dxfId="956" priority="1661" operator="containsText" text="Above">
      <formula>NOT(ISERROR(SEARCH("Above",H67)))</formula>
    </cfRule>
    <cfRule type="containsText" dxfId="955" priority="1662" operator="containsText" text="Well below">
      <formula>NOT(ISERROR(SEARCH("Well below",H67)))</formula>
    </cfRule>
    <cfRule type="containsText" dxfId="954" priority="1663" operator="containsText" text="Below">
      <formula>NOT(ISERROR(SEARCH("Below",H67)))</formula>
    </cfRule>
  </conditionalFormatting>
  <conditionalFormatting sqref="H68">
    <cfRule type="expression" dxfId="953" priority="1066">
      <formula>OR(H14="Secondary with sixth form",H14="Secondary without sixth form",H14="Nursery")</formula>
    </cfRule>
    <cfRule type="containsText" dxfId="952" priority="1656" operator="containsText" text="Well above">
      <formula>NOT(ISERROR(SEARCH("Well above",H68)))</formula>
    </cfRule>
    <cfRule type="containsText" dxfId="951" priority="1657" operator="containsText" text="Above">
      <formula>NOT(ISERROR(SEARCH("Above",H68)))</formula>
    </cfRule>
    <cfRule type="containsText" dxfId="950" priority="1658" operator="containsText" text="Well below">
      <formula>NOT(ISERROR(SEARCH("Well below",H68)))</formula>
    </cfRule>
    <cfRule type="containsText" dxfId="949" priority="1659" operator="containsText" text="Below">
      <formula>NOT(ISERROR(SEARCH("Below",H68)))</formula>
    </cfRule>
  </conditionalFormatting>
  <conditionalFormatting sqref="F59">
    <cfRule type="expression" dxfId="948" priority="1617">
      <formula>OR(H14="Nursery",H14="Alternative provision",H14="Special")</formula>
    </cfRule>
  </conditionalFormatting>
  <conditionalFormatting sqref="F61">
    <cfRule type="expression" dxfId="947" priority="1616">
      <formula>OR(H14="Nursery",H14="Alternative provision",H14="Special")</formula>
    </cfRule>
  </conditionalFormatting>
  <conditionalFormatting sqref="F68">
    <cfRule type="expression" dxfId="946" priority="1611">
      <formula>OR(H14="Secondary with sixth form",H14="Secondary without sixth form",H14="Nursery")</formula>
    </cfRule>
  </conditionalFormatting>
  <conditionalFormatting sqref="H69">
    <cfRule type="expression" dxfId="945" priority="1606">
      <formula>OR(H14="Secondary with sixth form",H14="Secondary without sixth form",H14="Nursery")</formula>
    </cfRule>
    <cfRule type="containsText" dxfId="944" priority="1607" operator="containsText" text="Well above">
      <formula>NOT(ISERROR(SEARCH("Well above",H69)))</formula>
    </cfRule>
    <cfRule type="containsText" dxfId="943" priority="1608" operator="containsText" text="Above">
      <formula>NOT(ISERROR(SEARCH("Above",H69)))</formula>
    </cfRule>
    <cfRule type="containsText" dxfId="942" priority="1609" operator="containsText" text="Well below">
      <formula>NOT(ISERROR(SEARCH("Well below",H69)))</formula>
    </cfRule>
    <cfRule type="containsText" dxfId="941" priority="1610" operator="containsText" text="Below">
      <formula>NOT(ISERROR(SEARCH("Below",H69)))</formula>
    </cfRule>
  </conditionalFormatting>
  <conditionalFormatting sqref="AJ38:AJ45 AJ55:AJ58 AJ61">
    <cfRule type="containsText" dxfId="940" priority="767" operator="containsText" text="Middle 20%">
      <formula>NOT(ISERROR(SEARCH("Middle 20%",AJ38)))</formula>
    </cfRule>
    <cfRule type="containsText" dxfId="939" priority="768" operator="containsText" text="Broadly">
      <formula>NOT(ISERROR(SEARCH("Broadly",AJ38)))</formula>
    </cfRule>
    <cfRule type="containsText" dxfId="938" priority="769" operator="containsText" text="20%">
      <formula>NOT(ISERROR(SEARCH("20%",AJ38)))</formula>
    </cfRule>
    <cfRule type="containsText" dxfId="937" priority="770" operator="containsText" text="10%">
      <formula>NOT(ISERROR(SEARCH("10%",AJ38)))</formula>
    </cfRule>
  </conditionalFormatting>
  <conditionalFormatting sqref="AJ50:AJ51">
    <cfRule type="containsText" dxfId="936" priority="764" operator="containsText" text="Low">
      <formula>NOT(ISERROR(SEARCH("Low",AJ50)))</formula>
    </cfRule>
    <cfRule type="containsText" dxfId="935" priority="765" operator="containsText" text="Medium">
      <formula>NOT(ISERROR(SEARCH("Medium",AJ50)))</formula>
    </cfRule>
    <cfRule type="containsText" dxfId="934" priority="766" operator="containsText" text="High">
      <formula>NOT(ISERROR(SEARCH("High",AJ50)))</formula>
    </cfRule>
  </conditionalFormatting>
  <conditionalFormatting sqref="AJ65">
    <cfRule type="containsText" dxfId="933" priority="757" operator="containsText" text="Outstanding">
      <formula>NOT(ISERROR(SEARCH("Outstanding",AJ65)))</formula>
    </cfRule>
    <cfRule type="containsText" dxfId="932" priority="758" operator="containsText" text="Good">
      <formula>NOT(ISERROR(SEARCH("Good",AJ65)))</formula>
    </cfRule>
    <cfRule type="containsText" dxfId="931" priority="759" operator="containsText" text="Requires Improvement">
      <formula>NOT(ISERROR(SEARCH("Requires Improvement",AJ65)))</formula>
    </cfRule>
    <cfRule type="containsText" dxfId="930" priority="760" operator="containsText" text="Inadequate">
      <formula>NOT(ISERROR(SEARCH("Inadequate",AJ65)))</formula>
    </cfRule>
  </conditionalFormatting>
  <conditionalFormatting sqref="AJ60">
    <cfRule type="containsText" dxfId="929" priority="750" operator="containsText" text="Low">
      <formula>NOT(ISERROR(SEARCH("Low",AJ60)))</formula>
    </cfRule>
    <cfRule type="containsText" dxfId="928" priority="751" operator="containsText" text="Medium">
      <formula>NOT(ISERROR(SEARCH("Medium",AJ60)))</formula>
    </cfRule>
    <cfRule type="containsText" dxfId="927" priority="752" operator="containsText" text="High">
      <formula>NOT(ISERROR(SEARCH("High",AJ60)))</formula>
    </cfRule>
  </conditionalFormatting>
  <conditionalFormatting sqref="H61">
    <cfRule type="expression" dxfId="926" priority="1071">
      <formula>OR(H14="Nursery",H14="Alternative provision",H14="Special")</formula>
    </cfRule>
  </conditionalFormatting>
  <conditionalFormatting sqref="F66">
    <cfRule type="expression" dxfId="925" priority="1614">
      <formula>H14="Nursery"</formula>
    </cfRule>
    <cfRule type="expression" dxfId="924" priority="1615">
      <formula>H14="Primary"</formula>
    </cfRule>
  </conditionalFormatting>
  <conditionalFormatting sqref="F67">
    <cfRule type="expression" dxfId="923" priority="1067">
      <formula>OR(H14="Secondary with sixth form",H14="Secondary without sixth form")</formula>
    </cfRule>
    <cfRule type="expression" dxfId="922" priority="1068">
      <formula>H14="Nursery"</formula>
    </cfRule>
  </conditionalFormatting>
  <conditionalFormatting sqref="F69">
    <cfRule type="expression" dxfId="921" priority="1065">
      <formula>OR(H14="Secondary with sixth form",H14="Secondary without sixth form",H14="Nursery")</formula>
    </cfRule>
  </conditionalFormatting>
  <conditionalFormatting sqref="L38:L45 L55:L58 L61">
    <cfRule type="containsText" dxfId="920" priority="1061" operator="containsText" text="Middle 20%">
      <formula>NOT(ISERROR(SEARCH("Middle 20%",L38)))</formula>
    </cfRule>
    <cfRule type="containsText" dxfId="919" priority="1062" operator="containsText" text="Broadly">
      <formula>NOT(ISERROR(SEARCH("Broadly",L38)))</formula>
    </cfRule>
    <cfRule type="containsText" dxfId="918" priority="1063" operator="containsText" text="20%">
      <formula>NOT(ISERROR(SEARCH("20%",L38)))</formula>
    </cfRule>
    <cfRule type="containsText" dxfId="917" priority="1064" operator="containsText" text="10%">
      <formula>NOT(ISERROR(SEARCH("10%",L38)))</formula>
    </cfRule>
  </conditionalFormatting>
  <conditionalFormatting sqref="L59">
    <cfRule type="expression" dxfId="916" priority="1023">
      <formula>OR(L14="Nursery",L14="Alternative provision",L14="Special")</formula>
    </cfRule>
    <cfRule type="containsText" dxfId="915" priority="1055" operator="containsText" text="Broadly">
      <formula>NOT(ISERROR(SEARCH("Broadly",L59)))</formula>
    </cfRule>
    <cfRule type="containsText" dxfId="914" priority="1056" operator="containsText" text="Much">
      <formula>NOT(ISERROR(SEARCH("Much",L59)))</formula>
    </cfRule>
    <cfRule type="containsText" dxfId="913" priority="1057" operator="containsText" text="Than">
      <formula>NOT(ISERROR(SEARCH("Than",L59)))</formula>
    </cfRule>
  </conditionalFormatting>
  <conditionalFormatting sqref="L50:L51">
    <cfRule type="containsText" dxfId="912" priority="1058" operator="containsText" text="Low">
      <formula>NOT(ISERROR(SEARCH("Low",L50)))</formula>
    </cfRule>
    <cfRule type="containsText" dxfId="911" priority="1059" operator="containsText" text="Medium">
      <formula>NOT(ISERROR(SEARCH("Medium",L50)))</formula>
    </cfRule>
    <cfRule type="containsText" dxfId="910" priority="1060" operator="containsText" text="High">
      <formula>NOT(ISERROR(SEARCH("High",L50)))</formula>
    </cfRule>
  </conditionalFormatting>
  <conditionalFormatting sqref="L65">
    <cfRule type="containsText" dxfId="909" priority="1051" operator="containsText" text="Outstanding">
      <formula>NOT(ISERROR(SEARCH("Outstanding",L65)))</formula>
    </cfRule>
    <cfRule type="containsText" dxfId="908" priority="1052" operator="containsText" text="Good">
      <formula>NOT(ISERROR(SEARCH("Good",L65)))</formula>
    </cfRule>
    <cfRule type="containsText" dxfId="907" priority="1053" operator="containsText" text="Requires Improvement">
      <formula>NOT(ISERROR(SEARCH("Requires Improvement",L65)))</formula>
    </cfRule>
    <cfRule type="containsText" dxfId="906" priority="1054" operator="containsText" text="Inadequate">
      <formula>NOT(ISERROR(SEARCH("Inadequate",L65)))</formula>
    </cfRule>
  </conditionalFormatting>
  <conditionalFormatting sqref="L66">
    <cfRule type="expression" dxfId="905" priority="1020">
      <formula>L14="Nursery"</formula>
    </cfRule>
    <cfRule type="expression" dxfId="904" priority="1021">
      <formula>L14="Primary"</formula>
    </cfRule>
    <cfRule type="containsText" dxfId="903" priority="1047" operator="containsText" text="Well above">
      <formula>NOT(ISERROR(SEARCH("Well above",L66)))</formula>
    </cfRule>
    <cfRule type="containsText" dxfId="902" priority="1048" operator="containsText" text="Above">
      <formula>NOT(ISERROR(SEARCH("Above",L66)))</formula>
    </cfRule>
    <cfRule type="containsText" dxfId="901" priority="1049" operator="containsText" text="Well below">
      <formula>NOT(ISERROR(SEARCH("Well below",L66)))</formula>
    </cfRule>
    <cfRule type="containsText" dxfId="900" priority="1050" operator="containsText" text="Below">
      <formula>NOT(ISERROR(SEARCH("Below",L66)))</formula>
    </cfRule>
  </conditionalFormatting>
  <conditionalFormatting sqref="L60">
    <cfRule type="containsText" dxfId="899" priority="1044" operator="containsText" text="Low">
      <formula>NOT(ISERROR(SEARCH("Low",L60)))</formula>
    </cfRule>
    <cfRule type="containsText" dxfId="898" priority="1045" operator="containsText" text="Medium">
      <formula>NOT(ISERROR(SEARCH("Medium",L60)))</formula>
    </cfRule>
    <cfRule type="containsText" dxfId="897" priority="1046" operator="containsText" text="High">
      <formula>NOT(ISERROR(SEARCH("High",L60)))</formula>
    </cfRule>
  </conditionalFormatting>
  <conditionalFormatting sqref="L67">
    <cfRule type="expression" dxfId="896" priority="1030">
      <formula>L14="Nursery"</formula>
    </cfRule>
    <cfRule type="expression" dxfId="895" priority="1031">
      <formula>OR(L14="Secondary with sixth form",L14="Secondary without sixth form")</formula>
    </cfRule>
    <cfRule type="containsText" dxfId="894" priority="1040" operator="containsText" text="Well above">
      <formula>NOT(ISERROR(SEARCH("Well above",L67)))</formula>
    </cfRule>
    <cfRule type="containsText" dxfId="893" priority="1041" operator="containsText" text="Above">
      <formula>NOT(ISERROR(SEARCH("Above",L67)))</formula>
    </cfRule>
    <cfRule type="containsText" dxfId="892" priority="1042" operator="containsText" text="Well below">
      <formula>NOT(ISERROR(SEARCH("Well below",L67)))</formula>
    </cfRule>
    <cfRule type="containsText" dxfId="891" priority="1043" operator="containsText" text="Below">
      <formula>NOT(ISERROR(SEARCH("Below",L67)))</formula>
    </cfRule>
  </conditionalFormatting>
  <conditionalFormatting sqref="L68">
    <cfRule type="expression" dxfId="890" priority="1017">
      <formula>OR(L14="Secondary with sixth form",L14="Secondary without sixth form",L14="Nursery")</formula>
    </cfRule>
    <cfRule type="containsText" dxfId="889" priority="1036" operator="containsText" text="Well above">
      <formula>NOT(ISERROR(SEARCH("Well above",L68)))</formula>
    </cfRule>
    <cfRule type="containsText" dxfId="888" priority="1037" operator="containsText" text="Above">
      <formula>NOT(ISERROR(SEARCH("Above",L68)))</formula>
    </cfRule>
    <cfRule type="containsText" dxfId="887" priority="1038" operator="containsText" text="Well below">
      <formula>NOT(ISERROR(SEARCH("Well below",L68)))</formula>
    </cfRule>
    <cfRule type="containsText" dxfId="886" priority="1039" operator="containsText" text="Below">
      <formula>NOT(ISERROR(SEARCH("Below",L68)))</formula>
    </cfRule>
  </conditionalFormatting>
  <conditionalFormatting sqref="J59">
    <cfRule type="expression" dxfId="885" priority="1035">
      <formula>OR(L14="Nursery",L14="Alternative provision",L14="Special")</formula>
    </cfRule>
  </conditionalFormatting>
  <conditionalFormatting sqref="L69">
    <cfRule type="expression" dxfId="884" priority="1024">
      <formula>OR(L14="Secondary with sixth form",L14="Secondary without sixth form",L14="Nursery")</formula>
    </cfRule>
    <cfRule type="containsText" dxfId="883" priority="1025" operator="containsText" text="Well above">
      <formula>NOT(ISERROR(SEARCH("Well above",L69)))</formula>
    </cfRule>
    <cfRule type="containsText" dxfId="882" priority="1026" operator="containsText" text="Above">
      <formula>NOT(ISERROR(SEARCH("Above",L69)))</formula>
    </cfRule>
    <cfRule type="containsText" dxfId="881" priority="1027" operator="containsText" text="Well below">
      <formula>NOT(ISERROR(SEARCH("Well below",L69)))</formula>
    </cfRule>
    <cfRule type="containsText" dxfId="880" priority="1028" operator="containsText" text="Below">
      <formula>NOT(ISERROR(SEARCH("Below",L69)))</formula>
    </cfRule>
  </conditionalFormatting>
  <conditionalFormatting sqref="L61">
    <cfRule type="expression" dxfId="879" priority="1022">
      <formula>OR(L14="Nursery",L14="Alternative provision",L14="Special")</formula>
    </cfRule>
  </conditionalFormatting>
  <conditionalFormatting sqref="P38:P45 P55:P58 P61">
    <cfRule type="containsText" dxfId="878" priority="1012" operator="containsText" text="Middle 20%">
      <formula>NOT(ISERROR(SEARCH("Middle 20%",P38)))</formula>
    </cfRule>
    <cfRule type="containsText" dxfId="877" priority="1013" operator="containsText" text="Broadly">
      <formula>NOT(ISERROR(SEARCH("Broadly",P38)))</formula>
    </cfRule>
    <cfRule type="containsText" dxfId="876" priority="1014" operator="containsText" text="20%">
      <formula>NOT(ISERROR(SEARCH("20%",P38)))</formula>
    </cfRule>
    <cfRule type="containsText" dxfId="875" priority="1015" operator="containsText" text="10%">
      <formula>NOT(ISERROR(SEARCH("10%",P38)))</formula>
    </cfRule>
  </conditionalFormatting>
  <conditionalFormatting sqref="P59">
    <cfRule type="expression" dxfId="874" priority="974">
      <formula>OR(P14="Nursery",P14="Alternative provision",P14="Special")</formula>
    </cfRule>
    <cfRule type="containsText" dxfId="873" priority="1006" operator="containsText" text="Broadly">
      <formula>NOT(ISERROR(SEARCH("Broadly",P59)))</formula>
    </cfRule>
    <cfRule type="containsText" dxfId="872" priority="1007" operator="containsText" text="Much">
      <formula>NOT(ISERROR(SEARCH("Much",P59)))</formula>
    </cfRule>
    <cfRule type="containsText" dxfId="871" priority="1008" operator="containsText" text="Than">
      <formula>NOT(ISERROR(SEARCH("Than",P59)))</formula>
    </cfRule>
  </conditionalFormatting>
  <conditionalFormatting sqref="P50:P51">
    <cfRule type="containsText" dxfId="870" priority="1009" operator="containsText" text="Low">
      <formula>NOT(ISERROR(SEARCH("Low",P50)))</formula>
    </cfRule>
    <cfRule type="containsText" dxfId="869" priority="1010" operator="containsText" text="Medium">
      <formula>NOT(ISERROR(SEARCH("Medium",P50)))</formula>
    </cfRule>
    <cfRule type="containsText" dxfId="868" priority="1011" operator="containsText" text="High">
      <formula>NOT(ISERROR(SEARCH("High",P50)))</formula>
    </cfRule>
  </conditionalFormatting>
  <conditionalFormatting sqref="P65">
    <cfRule type="containsText" dxfId="867" priority="1002" operator="containsText" text="Outstanding">
      <formula>NOT(ISERROR(SEARCH("Outstanding",P65)))</formula>
    </cfRule>
    <cfRule type="containsText" dxfId="866" priority="1003" operator="containsText" text="Good">
      <formula>NOT(ISERROR(SEARCH("Good",P65)))</formula>
    </cfRule>
    <cfRule type="containsText" dxfId="865" priority="1004" operator="containsText" text="Requires Improvement">
      <formula>NOT(ISERROR(SEARCH("Requires Improvement",P65)))</formula>
    </cfRule>
    <cfRule type="containsText" dxfId="864" priority="1005" operator="containsText" text="Inadequate">
      <formula>NOT(ISERROR(SEARCH("Inadequate",P65)))</formula>
    </cfRule>
  </conditionalFormatting>
  <conditionalFormatting sqref="P66">
    <cfRule type="expression" dxfId="863" priority="971">
      <formula>P14="Nursery"</formula>
    </cfRule>
    <cfRule type="expression" dxfId="862" priority="972">
      <formula>P14="Primary"</formula>
    </cfRule>
    <cfRule type="containsText" dxfId="861" priority="998" operator="containsText" text="Well above">
      <formula>NOT(ISERROR(SEARCH("Well above",P66)))</formula>
    </cfRule>
    <cfRule type="containsText" dxfId="860" priority="999" operator="containsText" text="Above">
      <formula>NOT(ISERROR(SEARCH("Above",P66)))</formula>
    </cfRule>
    <cfRule type="containsText" dxfId="859" priority="1000" operator="containsText" text="Well below">
      <formula>NOT(ISERROR(SEARCH("Well below",P66)))</formula>
    </cfRule>
    <cfRule type="containsText" dxfId="858" priority="1001" operator="containsText" text="Below">
      <formula>NOT(ISERROR(SEARCH("Below",P66)))</formula>
    </cfRule>
  </conditionalFormatting>
  <conditionalFormatting sqref="P60">
    <cfRule type="containsText" dxfId="857" priority="995" operator="containsText" text="Low">
      <formula>NOT(ISERROR(SEARCH("Low",P60)))</formula>
    </cfRule>
    <cfRule type="containsText" dxfId="856" priority="996" operator="containsText" text="Medium">
      <formula>NOT(ISERROR(SEARCH("Medium",P60)))</formula>
    </cfRule>
    <cfRule type="containsText" dxfId="855" priority="997" operator="containsText" text="High">
      <formula>NOT(ISERROR(SEARCH("High",P60)))</formula>
    </cfRule>
  </conditionalFormatting>
  <conditionalFormatting sqref="P67">
    <cfRule type="expression" dxfId="854" priority="981">
      <formula>P14="Nursery"</formula>
    </cfRule>
    <cfRule type="expression" dxfId="853" priority="982">
      <formula>OR(P14="Secondary with sixth form",P14="Secondary without sixth form")</formula>
    </cfRule>
    <cfRule type="containsText" dxfId="852" priority="991" operator="containsText" text="Well above">
      <formula>NOT(ISERROR(SEARCH("Well above",P67)))</formula>
    </cfRule>
    <cfRule type="containsText" dxfId="851" priority="992" operator="containsText" text="Above">
      <formula>NOT(ISERROR(SEARCH("Above",P67)))</formula>
    </cfRule>
    <cfRule type="containsText" dxfId="850" priority="993" operator="containsText" text="Well below">
      <formula>NOT(ISERROR(SEARCH("Well below",P67)))</formula>
    </cfRule>
    <cfRule type="containsText" dxfId="849" priority="994" operator="containsText" text="Below">
      <formula>NOT(ISERROR(SEARCH("Below",P67)))</formula>
    </cfRule>
  </conditionalFormatting>
  <conditionalFormatting sqref="P68">
    <cfRule type="expression" dxfId="848" priority="968">
      <formula>OR(P14="Secondary with sixth form",P14="Secondary without sixth form",P14="Nursery")</formula>
    </cfRule>
    <cfRule type="containsText" dxfId="847" priority="987" operator="containsText" text="Well above">
      <formula>NOT(ISERROR(SEARCH("Well above",P68)))</formula>
    </cfRule>
    <cfRule type="containsText" dxfId="846" priority="988" operator="containsText" text="Above">
      <formula>NOT(ISERROR(SEARCH("Above",P68)))</formula>
    </cfRule>
    <cfRule type="containsText" dxfId="845" priority="989" operator="containsText" text="Well below">
      <formula>NOT(ISERROR(SEARCH("Well below",P68)))</formula>
    </cfRule>
    <cfRule type="containsText" dxfId="844" priority="990" operator="containsText" text="Below">
      <formula>NOT(ISERROR(SEARCH("Below",P68)))</formula>
    </cfRule>
  </conditionalFormatting>
  <conditionalFormatting sqref="N59">
    <cfRule type="expression" dxfId="843" priority="986">
      <formula>OR(P14="Nursery",P14="Alternative provision",P14="Special")</formula>
    </cfRule>
  </conditionalFormatting>
  <conditionalFormatting sqref="P69">
    <cfRule type="expression" dxfId="842" priority="975">
      <formula>OR(P14="Secondary with sixth form",P14="Secondary without sixth form",P14="Nursery")</formula>
    </cfRule>
    <cfRule type="containsText" dxfId="841" priority="976" operator="containsText" text="Well above">
      <formula>NOT(ISERROR(SEARCH("Well above",P69)))</formula>
    </cfRule>
    <cfRule type="containsText" dxfId="840" priority="977" operator="containsText" text="Above">
      <formula>NOT(ISERROR(SEARCH("Above",P69)))</formula>
    </cfRule>
    <cfRule type="containsText" dxfId="839" priority="978" operator="containsText" text="Well below">
      <formula>NOT(ISERROR(SEARCH("Well below",P69)))</formula>
    </cfRule>
    <cfRule type="containsText" dxfId="838" priority="979" operator="containsText" text="Below">
      <formula>NOT(ISERROR(SEARCH("Below",P69)))</formula>
    </cfRule>
  </conditionalFormatting>
  <conditionalFormatting sqref="P61">
    <cfRule type="expression" dxfId="837" priority="973">
      <formula>OR(P14="Nursery",P14="Alternative provision",P14="Special")</formula>
    </cfRule>
  </conditionalFormatting>
  <conditionalFormatting sqref="T38:T45 T55:T58 T61">
    <cfRule type="containsText" dxfId="836" priority="963" operator="containsText" text="Middle 20%">
      <formula>NOT(ISERROR(SEARCH("Middle 20%",T38)))</formula>
    </cfRule>
    <cfRule type="containsText" dxfId="835" priority="964" operator="containsText" text="Broadly">
      <formula>NOT(ISERROR(SEARCH("Broadly",T38)))</formula>
    </cfRule>
    <cfRule type="containsText" dxfId="834" priority="965" operator="containsText" text="20%">
      <formula>NOT(ISERROR(SEARCH("20%",T38)))</formula>
    </cfRule>
    <cfRule type="containsText" dxfId="833" priority="966" operator="containsText" text="10%">
      <formula>NOT(ISERROR(SEARCH("10%",T38)))</formula>
    </cfRule>
  </conditionalFormatting>
  <conditionalFormatting sqref="T59">
    <cfRule type="expression" dxfId="832" priority="925">
      <formula>OR(T14="Nursery",T14="Alternative provision",T14="Special")</formula>
    </cfRule>
    <cfRule type="containsText" dxfId="831" priority="957" operator="containsText" text="Broadly">
      <formula>NOT(ISERROR(SEARCH("Broadly",T59)))</formula>
    </cfRule>
    <cfRule type="containsText" dxfId="830" priority="958" operator="containsText" text="Much">
      <formula>NOT(ISERROR(SEARCH("Much",T59)))</formula>
    </cfRule>
    <cfRule type="containsText" dxfId="829" priority="959" operator="containsText" text="Than">
      <formula>NOT(ISERROR(SEARCH("Than",T59)))</formula>
    </cfRule>
  </conditionalFormatting>
  <conditionalFormatting sqref="T50:T51">
    <cfRule type="containsText" dxfId="828" priority="960" operator="containsText" text="Low">
      <formula>NOT(ISERROR(SEARCH("Low",T50)))</formula>
    </cfRule>
    <cfRule type="containsText" dxfId="827" priority="961" operator="containsText" text="Medium">
      <formula>NOT(ISERROR(SEARCH("Medium",T50)))</formula>
    </cfRule>
    <cfRule type="containsText" dxfId="826" priority="962" operator="containsText" text="High">
      <formula>NOT(ISERROR(SEARCH("High",T50)))</formula>
    </cfRule>
  </conditionalFormatting>
  <conditionalFormatting sqref="T65">
    <cfRule type="containsText" dxfId="825" priority="953" operator="containsText" text="Outstanding">
      <formula>NOT(ISERROR(SEARCH("Outstanding",T65)))</formula>
    </cfRule>
    <cfRule type="containsText" dxfId="824" priority="954" operator="containsText" text="Good">
      <formula>NOT(ISERROR(SEARCH("Good",T65)))</formula>
    </cfRule>
    <cfRule type="containsText" dxfId="823" priority="955" operator="containsText" text="Requires Improvement">
      <formula>NOT(ISERROR(SEARCH("Requires Improvement",T65)))</formula>
    </cfRule>
    <cfRule type="containsText" dxfId="822" priority="956" operator="containsText" text="Inadequate">
      <formula>NOT(ISERROR(SEARCH("Inadequate",T65)))</formula>
    </cfRule>
  </conditionalFormatting>
  <conditionalFormatting sqref="T66">
    <cfRule type="expression" dxfId="821" priority="922">
      <formula>T14="Nursery"</formula>
    </cfRule>
    <cfRule type="expression" dxfId="820" priority="923">
      <formula>T14="Primary"</formula>
    </cfRule>
    <cfRule type="containsText" dxfId="819" priority="949" operator="containsText" text="Well above">
      <formula>NOT(ISERROR(SEARCH("Well above",T66)))</formula>
    </cfRule>
    <cfRule type="containsText" dxfId="818" priority="950" operator="containsText" text="Above">
      <formula>NOT(ISERROR(SEARCH("Above",T66)))</formula>
    </cfRule>
    <cfRule type="containsText" dxfId="817" priority="951" operator="containsText" text="Well below">
      <formula>NOT(ISERROR(SEARCH("Well below",T66)))</formula>
    </cfRule>
    <cfRule type="containsText" dxfId="816" priority="952" operator="containsText" text="Below">
      <formula>NOT(ISERROR(SEARCH("Below",T66)))</formula>
    </cfRule>
  </conditionalFormatting>
  <conditionalFormatting sqref="T60">
    <cfRule type="containsText" dxfId="815" priority="946" operator="containsText" text="Low">
      <formula>NOT(ISERROR(SEARCH("Low",T60)))</formula>
    </cfRule>
    <cfRule type="containsText" dxfId="814" priority="947" operator="containsText" text="Medium">
      <formula>NOT(ISERROR(SEARCH("Medium",T60)))</formula>
    </cfRule>
    <cfRule type="containsText" dxfId="813" priority="948" operator="containsText" text="High">
      <formula>NOT(ISERROR(SEARCH("High",T60)))</formula>
    </cfRule>
  </conditionalFormatting>
  <conditionalFormatting sqref="T67">
    <cfRule type="expression" dxfId="812" priority="932">
      <formula>T14="Nursery"</formula>
    </cfRule>
    <cfRule type="expression" dxfId="811" priority="933">
      <formula>OR(T14="Secondary with sixth form",T14="Secondary without sixth form")</formula>
    </cfRule>
    <cfRule type="containsText" dxfId="810" priority="942" operator="containsText" text="Well above">
      <formula>NOT(ISERROR(SEARCH("Well above",T67)))</formula>
    </cfRule>
    <cfRule type="containsText" dxfId="809" priority="943" operator="containsText" text="Above">
      <formula>NOT(ISERROR(SEARCH("Above",T67)))</formula>
    </cfRule>
    <cfRule type="containsText" dxfId="808" priority="944" operator="containsText" text="Well below">
      <formula>NOT(ISERROR(SEARCH("Well below",T67)))</formula>
    </cfRule>
    <cfRule type="containsText" dxfId="807" priority="945" operator="containsText" text="Below">
      <formula>NOT(ISERROR(SEARCH("Below",T67)))</formula>
    </cfRule>
  </conditionalFormatting>
  <conditionalFormatting sqref="T68">
    <cfRule type="expression" dxfId="806" priority="919">
      <formula>OR(T14="Secondary with sixth form",T14="Secondary without sixth form",T14="Nursery")</formula>
    </cfRule>
    <cfRule type="containsText" dxfId="805" priority="938" operator="containsText" text="Well above">
      <formula>NOT(ISERROR(SEARCH("Well above",T68)))</formula>
    </cfRule>
    <cfRule type="containsText" dxfId="804" priority="939" operator="containsText" text="Above">
      <formula>NOT(ISERROR(SEARCH("Above",T68)))</formula>
    </cfRule>
    <cfRule type="containsText" dxfId="803" priority="940" operator="containsText" text="Well below">
      <formula>NOT(ISERROR(SEARCH("Well below",T68)))</formula>
    </cfRule>
    <cfRule type="containsText" dxfId="802" priority="941" operator="containsText" text="Below">
      <formula>NOT(ISERROR(SEARCH("Below",T68)))</formula>
    </cfRule>
  </conditionalFormatting>
  <conditionalFormatting sqref="R59">
    <cfRule type="expression" dxfId="801" priority="937">
      <formula>OR(T14="Nursery",T14="Alternative provision",T14="Special")</formula>
    </cfRule>
  </conditionalFormatting>
  <conditionalFormatting sqref="T69">
    <cfRule type="expression" dxfId="800" priority="926">
      <formula>OR(T14="Secondary with sixth form",T14="Secondary without sixth form",T14="Nursery")</formula>
    </cfRule>
    <cfRule type="containsText" dxfId="799" priority="927" operator="containsText" text="Well above">
      <formula>NOT(ISERROR(SEARCH("Well above",T69)))</formula>
    </cfRule>
    <cfRule type="containsText" dxfId="798" priority="928" operator="containsText" text="Above">
      <formula>NOT(ISERROR(SEARCH("Above",T69)))</formula>
    </cfRule>
    <cfRule type="containsText" dxfId="797" priority="929" operator="containsText" text="Well below">
      <formula>NOT(ISERROR(SEARCH("Well below",T69)))</formula>
    </cfRule>
    <cfRule type="containsText" dxfId="796" priority="930" operator="containsText" text="Below">
      <formula>NOT(ISERROR(SEARCH("Below",T69)))</formula>
    </cfRule>
  </conditionalFormatting>
  <conditionalFormatting sqref="T61">
    <cfRule type="expression" dxfId="795" priority="924">
      <formula>OR(T14="Nursery",T14="Alternative provision",T14="Special")</formula>
    </cfRule>
  </conditionalFormatting>
  <conditionalFormatting sqref="X38:X45 X55:X58 X61">
    <cfRule type="containsText" dxfId="794" priority="914" operator="containsText" text="Middle 20%">
      <formula>NOT(ISERROR(SEARCH("Middle 20%",X38)))</formula>
    </cfRule>
    <cfRule type="containsText" dxfId="793" priority="915" operator="containsText" text="Broadly">
      <formula>NOT(ISERROR(SEARCH("Broadly",X38)))</formula>
    </cfRule>
    <cfRule type="containsText" dxfId="792" priority="916" operator="containsText" text="20%">
      <formula>NOT(ISERROR(SEARCH("20%",X38)))</formula>
    </cfRule>
    <cfRule type="containsText" dxfId="791" priority="917" operator="containsText" text="10%">
      <formula>NOT(ISERROR(SEARCH("10%",X38)))</formula>
    </cfRule>
  </conditionalFormatting>
  <conditionalFormatting sqref="X59">
    <cfRule type="expression" dxfId="790" priority="876">
      <formula>OR(X14="Nursery",X14="Alternative provision",X14="Special")</formula>
    </cfRule>
    <cfRule type="containsText" dxfId="789" priority="908" operator="containsText" text="Broadly">
      <formula>NOT(ISERROR(SEARCH("Broadly",X59)))</formula>
    </cfRule>
    <cfRule type="containsText" dxfId="788" priority="909" operator="containsText" text="Much">
      <formula>NOT(ISERROR(SEARCH("Much",X59)))</formula>
    </cfRule>
    <cfRule type="containsText" dxfId="787" priority="910" operator="containsText" text="Than">
      <formula>NOT(ISERROR(SEARCH("Than",X59)))</formula>
    </cfRule>
  </conditionalFormatting>
  <conditionalFormatting sqref="X50:X51">
    <cfRule type="containsText" dxfId="786" priority="911" operator="containsText" text="Low">
      <formula>NOT(ISERROR(SEARCH("Low",X50)))</formula>
    </cfRule>
    <cfRule type="containsText" dxfId="785" priority="912" operator="containsText" text="Medium">
      <formula>NOT(ISERROR(SEARCH("Medium",X50)))</formula>
    </cfRule>
    <cfRule type="containsText" dxfId="784" priority="913" operator="containsText" text="High">
      <formula>NOT(ISERROR(SEARCH("High",X50)))</formula>
    </cfRule>
  </conditionalFormatting>
  <conditionalFormatting sqref="X65">
    <cfRule type="containsText" dxfId="783" priority="904" operator="containsText" text="Outstanding">
      <formula>NOT(ISERROR(SEARCH("Outstanding",X65)))</formula>
    </cfRule>
    <cfRule type="containsText" dxfId="782" priority="905" operator="containsText" text="Good">
      <formula>NOT(ISERROR(SEARCH("Good",X65)))</formula>
    </cfRule>
    <cfRule type="containsText" dxfId="781" priority="906" operator="containsText" text="Requires Improvement">
      <formula>NOT(ISERROR(SEARCH("Requires Improvement",X65)))</formula>
    </cfRule>
    <cfRule type="containsText" dxfId="780" priority="907" operator="containsText" text="Inadequate">
      <formula>NOT(ISERROR(SEARCH("Inadequate",X65)))</formula>
    </cfRule>
  </conditionalFormatting>
  <conditionalFormatting sqref="X66">
    <cfRule type="expression" dxfId="779" priority="873">
      <formula>X14="Nursery"</formula>
    </cfRule>
    <cfRule type="expression" dxfId="778" priority="874">
      <formula>X14="Primary"</formula>
    </cfRule>
    <cfRule type="containsText" dxfId="777" priority="900" operator="containsText" text="Well above">
      <formula>NOT(ISERROR(SEARCH("Well above",X66)))</formula>
    </cfRule>
    <cfRule type="containsText" dxfId="776" priority="901" operator="containsText" text="Above">
      <formula>NOT(ISERROR(SEARCH("Above",X66)))</formula>
    </cfRule>
    <cfRule type="containsText" dxfId="775" priority="902" operator="containsText" text="Well below">
      <formula>NOT(ISERROR(SEARCH("Well below",X66)))</formula>
    </cfRule>
    <cfRule type="containsText" dxfId="774" priority="903" operator="containsText" text="Below">
      <formula>NOT(ISERROR(SEARCH("Below",X66)))</formula>
    </cfRule>
  </conditionalFormatting>
  <conditionalFormatting sqref="X60">
    <cfRule type="containsText" dxfId="773" priority="897" operator="containsText" text="Low">
      <formula>NOT(ISERROR(SEARCH("Low",X60)))</formula>
    </cfRule>
    <cfRule type="containsText" dxfId="772" priority="898" operator="containsText" text="Medium">
      <formula>NOT(ISERROR(SEARCH("Medium",X60)))</formula>
    </cfRule>
    <cfRule type="containsText" dxfId="771" priority="899" operator="containsText" text="High">
      <formula>NOT(ISERROR(SEARCH("High",X60)))</formula>
    </cfRule>
  </conditionalFormatting>
  <conditionalFormatting sqref="X67">
    <cfRule type="expression" dxfId="770" priority="883">
      <formula>X14="Nursery"</formula>
    </cfRule>
    <cfRule type="expression" dxfId="769" priority="884">
      <formula>OR(X14="Secondary with sixth form",X14="Secondary without sixth form")</formula>
    </cfRule>
    <cfRule type="containsText" dxfId="768" priority="893" operator="containsText" text="Well above">
      <formula>NOT(ISERROR(SEARCH("Well above",X67)))</formula>
    </cfRule>
    <cfRule type="containsText" dxfId="767" priority="894" operator="containsText" text="Above">
      <formula>NOT(ISERROR(SEARCH("Above",X67)))</formula>
    </cfRule>
    <cfRule type="containsText" dxfId="766" priority="895" operator="containsText" text="Well below">
      <formula>NOT(ISERROR(SEARCH("Well below",X67)))</formula>
    </cfRule>
    <cfRule type="containsText" dxfId="765" priority="896" operator="containsText" text="Below">
      <formula>NOT(ISERROR(SEARCH("Below",X67)))</formula>
    </cfRule>
  </conditionalFormatting>
  <conditionalFormatting sqref="X68">
    <cfRule type="expression" dxfId="764" priority="870">
      <formula>OR(X14="Secondary with sixth form",X14="Secondary without sixth form",X14="Nursery")</formula>
    </cfRule>
    <cfRule type="containsText" dxfId="763" priority="889" operator="containsText" text="Well above">
      <formula>NOT(ISERROR(SEARCH("Well above",X68)))</formula>
    </cfRule>
    <cfRule type="containsText" dxfId="762" priority="890" operator="containsText" text="Above">
      <formula>NOT(ISERROR(SEARCH("Above",X68)))</formula>
    </cfRule>
    <cfRule type="containsText" dxfId="761" priority="891" operator="containsText" text="Well below">
      <formula>NOT(ISERROR(SEARCH("Well below",X68)))</formula>
    </cfRule>
    <cfRule type="containsText" dxfId="760" priority="892" operator="containsText" text="Below">
      <formula>NOT(ISERROR(SEARCH("Below",X68)))</formula>
    </cfRule>
  </conditionalFormatting>
  <conditionalFormatting sqref="V59">
    <cfRule type="expression" dxfId="759" priority="888">
      <formula>OR(X14="Nursery",X14="Alternative provision",X14="Special")</formula>
    </cfRule>
  </conditionalFormatting>
  <conditionalFormatting sqref="X69">
    <cfRule type="expression" dxfId="758" priority="877">
      <formula>OR(X14="Secondary with sixth form",X14="Secondary without sixth form",X14="Nursery")</formula>
    </cfRule>
    <cfRule type="containsText" dxfId="757" priority="878" operator="containsText" text="Well above">
      <formula>NOT(ISERROR(SEARCH("Well above",X69)))</formula>
    </cfRule>
    <cfRule type="containsText" dxfId="756" priority="879" operator="containsText" text="Above">
      <formula>NOT(ISERROR(SEARCH("Above",X69)))</formula>
    </cfRule>
    <cfRule type="containsText" dxfId="755" priority="880" operator="containsText" text="Well below">
      <formula>NOT(ISERROR(SEARCH("Well below",X69)))</formula>
    </cfRule>
    <cfRule type="containsText" dxfId="754" priority="881" operator="containsText" text="Below">
      <formula>NOT(ISERROR(SEARCH("Below",X69)))</formula>
    </cfRule>
  </conditionalFormatting>
  <conditionalFormatting sqref="X61">
    <cfRule type="expression" dxfId="753" priority="875">
      <formula>OR(X14="Nursery",X14="Alternative provision",X14="Special")</formula>
    </cfRule>
  </conditionalFormatting>
  <conditionalFormatting sqref="AB38:AB45 AB55:AB58 AB61">
    <cfRule type="containsText" dxfId="752" priority="865" operator="containsText" text="Middle 20%">
      <formula>NOT(ISERROR(SEARCH("Middle 20%",AB38)))</formula>
    </cfRule>
    <cfRule type="containsText" dxfId="751" priority="866" operator="containsText" text="Broadly">
      <formula>NOT(ISERROR(SEARCH("Broadly",AB38)))</formula>
    </cfRule>
    <cfRule type="containsText" dxfId="750" priority="867" operator="containsText" text="20%">
      <formula>NOT(ISERROR(SEARCH("20%",AB38)))</formula>
    </cfRule>
    <cfRule type="containsText" dxfId="749" priority="868" operator="containsText" text="10%">
      <formula>NOT(ISERROR(SEARCH("10%",AB38)))</formula>
    </cfRule>
  </conditionalFormatting>
  <conditionalFormatting sqref="AB59">
    <cfRule type="expression" dxfId="748" priority="827">
      <formula>OR(AB14="Nursery",AB14="Alternative provision",AB14="Special")</formula>
    </cfRule>
    <cfRule type="containsText" dxfId="747" priority="859" operator="containsText" text="Broadly">
      <formula>NOT(ISERROR(SEARCH("Broadly",AB59)))</formula>
    </cfRule>
    <cfRule type="containsText" dxfId="746" priority="860" operator="containsText" text="Much">
      <formula>NOT(ISERROR(SEARCH("Much",AB59)))</formula>
    </cfRule>
    <cfRule type="containsText" dxfId="745" priority="861" operator="containsText" text="Than">
      <formula>NOT(ISERROR(SEARCH("Than",AB59)))</formula>
    </cfRule>
  </conditionalFormatting>
  <conditionalFormatting sqref="AB50:AB51">
    <cfRule type="containsText" dxfId="744" priority="862" operator="containsText" text="Low">
      <formula>NOT(ISERROR(SEARCH("Low",AB50)))</formula>
    </cfRule>
    <cfRule type="containsText" dxfId="743" priority="863" operator="containsText" text="Medium">
      <formula>NOT(ISERROR(SEARCH("Medium",AB50)))</formula>
    </cfRule>
    <cfRule type="containsText" dxfId="742" priority="864" operator="containsText" text="High">
      <formula>NOT(ISERROR(SEARCH("High",AB50)))</formula>
    </cfRule>
  </conditionalFormatting>
  <conditionalFormatting sqref="AB65">
    <cfRule type="containsText" dxfId="741" priority="855" operator="containsText" text="Outstanding">
      <formula>NOT(ISERROR(SEARCH("Outstanding",AB65)))</formula>
    </cfRule>
    <cfRule type="containsText" dxfId="740" priority="856" operator="containsText" text="Good">
      <formula>NOT(ISERROR(SEARCH("Good",AB65)))</formula>
    </cfRule>
    <cfRule type="containsText" dxfId="739" priority="857" operator="containsText" text="Requires Improvement">
      <formula>NOT(ISERROR(SEARCH("Requires Improvement",AB65)))</formula>
    </cfRule>
    <cfRule type="containsText" dxfId="738" priority="858" operator="containsText" text="Inadequate">
      <formula>NOT(ISERROR(SEARCH("Inadequate",AB65)))</formula>
    </cfRule>
  </conditionalFormatting>
  <conditionalFormatting sqref="AB66">
    <cfRule type="expression" dxfId="737" priority="824">
      <formula>AB14="Nursery"</formula>
    </cfRule>
    <cfRule type="expression" dxfId="736" priority="825">
      <formula>AB14="Primary"</formula>
    </cfRule>
    <cfRule type="containsText" dxfId="735" priority="851" operator="containsText" text="Well above">
      <formula>NOT(ISERROR(SEARCH("Well above",AB66)))</formula>
    </cfRule>
    <cfRule type="containsText" dxfId="734" priority="852" operator="containsText" text="Above">
      <formula>NOT(ISERROR(SEARCH("Above",AB66)))</formula>
    </cfRule>
    <cfRule type="containsText" dxfId="733" priority="853" operator="containsText" text="Well below">
      <formula>NOT(ISERROR(SEARCH("Well below",AB66)))</formula>
    </cfRule>
    <cfRule type="containsText" dxfId="732" priority="854" operator="containsText" text="Below">
      <formula>NOT(ISERROR(SEARCH("Below",AB66)))</formula>
    </cfRule>
  </conditionalFormatting>
  <conditionalFormatting sqref="AB60">
    <cfRule type="containsText" dxfId="731" priority="848" operator="containsText" text="Low">
      <formula>NOT(ISERROR(SEARCH("Low",AB60)))</formula>
    </cfRule>
    <cfRule type="containsText" dxfId="730" priority="849" operator="containsText" text="Medium">
      <formula>NOT(ISERROR(SEARCH("Medium",AB60)))</formula>
    </cfRule>
    <cfRule type="containsText" dxfId="729" priority="850" operator="containsText" text="High">
      <formula>NOT(ISERROR(SEARCH("High",AB60)))</formula>
    </cfRule>
  </conditionalFormatting>
  <conditionalFormatting sqref="AB67">
    <cfRule type="expression" dxfId="728" priority="834">
      <formula>AB14="Nursery"</formula>
    </cfRule>
    <cfRule type="expression" dxfId="727" priority="835">
      <formula>OR(AB14="Secondary with sixth form",AB14="Secondary without sixth form")</formula>
    </cfRule>
    <cfRule type="containsText" dxfId="726" priority="844" operator="containsText" text="Well above">
      <formula>NOT(ISERROR(SEARCH("Well above",AB67)))</formula>
    </cfRule>
    <cfRule type="containsText" dxfId="725" priority="845" operator="containsText" text="Above">
      <formula>NOT(ISERROR(SEARCH("Above",AB67)))</formula>
    </cfRule>
    <cfRule type="containsText" dxfId="724" priority="846" operator="containsText" text="Well below">
      <formula>NOT(ISERROR(SEARCH("Well below",AB67)))</formula>
    </cfRule>
    <cfRule type="containsText" dxfId="723" priority="847" operator="containsText" text="Below">
      <formula>NOT(ISERROR(SEARCH("Below",AB67)))</formula>
    </cfRule>
  </conditionalFormatting>
  <conditionalFormatting sqref="AB68">
    <cfRule type="expression" dxfId="722" priority="821">
      <formula>OR(AB14="Secondary with sixth form",AB14="Secondary without sixth form",AB14="Nursery")</formula>
    </cfRule>
    <cfRule type="containsText" dxfId="721" priority="840" operator="containsText" text="Well above">
      <formula>NOT(ISERROR(SEARCH("Well above",AB68)))</formula>
    </cfRule>
    <cfRule type="containsText" dxfId="720" priority="841" operator="containsText" text="Above">
      <formula>NOT(ISERROR(SEARCH("Above",AB68)))</formula>
    </cfRule>
    <cfRule type="containsText" dxfId="719" priority="842" operator="containsText" text="Well below">
      <formula>NOT(ISERROR(SEARCH("Well below",AB68)))</formula>
    </cfRule>
    <cfRule type="containsText" dxfId="718" priority="843" operator="containsText" text="Below">
      <formula>NOT(ISERROR(SEARCH("Below",AB68)))</formula>
    </cfRule>
  </conditionalFormatting>
  <conditionalFormatting sqref="Z59">
    <cfRule type="expression" dxfId="717" priority="839">
      <formula>OR(AB14="Nursery",AB14="Alternative provision",AB14="Special")</formula>
    </cfRule>
  </conditionalFormatting>
  <conditionalFormatting sqref="AB69">
    <cfRule type="expression" dxfId="716" priority="828">
      <formula>OR(AB14="Secondary with sixth form",AB14="Secondary without sixth form",AB14="Nursery")</formula>
    </cfRule>
    <cfRule type="containsText" dxfId="715" priority="829" operator="containsText" text="Well above">
      <formula>NOT(ISERROR(SEARCH("Well above",AB69)))</formula>
    </cfRule>
    <cfRule type="containsText" dxfId="714" priority="830" operator="containsText" text="Above">
      <formula>NOT(ISERROR(SEARCH("Above",AB69)))</formula>
    </cfRule>
    <cfRule type="containsText" dxfId="713" priority="831" operator="containsText" text="Well below">
      <formula>NOT(ISERROR(SEARCH("Well below",AB69)))</formula>
    </cfRule>
    <cfRule type="containsText" dxfId="712" priority="832" operator="containsText" text="Below">
      <formula>NOT(ISERROR(SEARCH("Below",AB69)))</formula>
    </cfRule>
  </conditionalFormatting>
  <conditionalFormatting sqref="AB61">
    <cfRule type="expression" dxfId="711" priority="826">
      <formula>OR(AB14="Nursery",AB14="Alternative provision",AB14="Special")</formula>
    </cfRule>
  </conditionalFormatting>
  <conditionalFormatting sqref="AF38:AF45 AF55:AF58 AF61">
    <cfRule type="containsText" dxfId="710" priority="816" operator="containsText" text="Middle 20%">
      <formula>NOT(ISERROR(SEARCH("Middle 20%",AF38)))</formula>
    </cfRule>
    <cfRule type="containsText" dxfId="709" priority="817" operator="containsText" text="Broadly">
      <formula>NOT(ISERROR(SEARCH("Broadly",AF38)))</formula>
    </cfRule>
    <cfRule type="containsText" dxfId="708" priority="818" operator="containsText" text="20%">
      <formula>NOT(ISERROR(SEARCH("20%",AF38)))</formula>
    </cfRule>
    <cfRule type="containsText" dxfId="707" priority="819" operator="containsText" text="10%">
      <formula>NOT(ISERROR(SEARCH("10%",AF38)))</formula>
    </cfRule>
  </conditionalFormatting>
  <conditionalFormatting sqref="AF59">
    <cfRule type="expression" dxfId="706" priority="778">
      <formula>OR(AF14="Nursery",AF14="Alternative provision",AF14="Special")</formula>
    </cfRule>
    <cfRule type="containsText" dxfId="705" priority="810" operator="containsText" text="Broadly">
      <formula>NOT(ISERROR(SEARCH("Broadly",AF59)))</formula>
    </cfRule>
    <cfRule type="containsText" dxfId="704" priority="811" operator="containsText" text="Much">
      <formula>NOT(ISERROR(SEARCH("Much",AF59)))</formula>
    </cfRule>
    <cfRule type="containsText" dxfId="703" priority="812" operator="containsText" text="Than">
      <formula>NOT(ISERROR(SEARCH("Than",AF59)))</formula>
    </cfRule>
  </conditionalFormatting>
  <conditionalFormatting sqref="AF50:AF51">
    <cfRule type="containsText" dxfId="702" priority="813" operator="containsText" text="Low">
      <formula>NOT(ISERROR(SEARCH("Low",AF50)))</formula>
    </cfRule>
    <cfRule type="containsText" dxfId="701" priority="814" operator="containsText" text="Medium">
      <formula>NOT(ISERROR(SEARCH("Medium",AF50)))</formula>
    </cfRule>
    <cfRule type="containsText" dxfId="700" priority="815" operator="containsText" text="High">
      <formula>NOT(ISERROR(SEARCH("High",AF50)))</formula>
    </cfRule>
  </conditionalFormatting>
  <conditionalFormatting sqref="AF65">
    <cfRule type="containsText" dxfId="699" priority="806" operator="containsText" text="Outstanding">
      <formula>NOT(ISERROR(SEARCH("Outstanding",AF65)))</formula>
    </cfRule>
    <cfRule type="containsText" dxfId="698" priority="807" operator="containsText" text="Good">
      <formula>NOT(ISERROR(SEARCH("Good",AF65)))</formula>
    </cfRule>
    <cfRule type="containsText" dxfId="697" priority="808" operator="containsText" text="Requires Improvement">
      <formula>NOT(ISERROR(SEARCH("Requires Improvement",AF65)))</formula>
    </cfRule>
    <cfRule type="containsText" dxfId="696" priority="809" operator="containsText" text="Inadequate">
      <formula>NOT(ISERROR(SEARCH("Inadequate",AF65)))</formula>
    </cfRule>
  </conditionalFormatting>
  <conditionalFormatting sqref="AF66">
    <cfRule type="expression" dxfId="695" priority="775">
      <formula>AF14="Nursery"</formula>
    </cfRule>
    <cfRule type="expression" dxfId="694" priority="776">
      <formula>AF14="Primary"</formula>
    </cfRule>
    <cfRule type="containsText" dxfId="693" priority="802" operator="containsText" text="Well above">
      <formula>NOT(ISERROR(SEARCH("Well above",AF66)))</formula>
    </cfRule>
    <cfRule type="containsText" dxfId="692" priority="803" operator="containsText" text="Above">
      <formula>NOT(ISERROR(SEARCH("Above",AF66)))</formula>
    </cfRule>
    <cfRule type="containsText" dxfId="691" priority="804" operator="containsText" text="Well below">
      <formula>NOT(ISERROR(SEARCH("Well below",AF66)))</formula>
    </cfRule>
    <cfRule type="containsText" dxfId="690" priority="805" operator="containsText" text="Below">
      <formula>NOT(ISERROR(SEARCH("Below",AF66)))</formula>
    </cfRule>
  </conditionalFormatting>
  <conditionalFormatting sqref="AF60">
    <cfRule type="containsText" dxfId="689" priority="799" operator="containsText" text="Low">
      <formula>NOT(ISERROR(SEARCH("Low",AF60)))</formula>
    </cfRule>
    <cfRule type="containsText" dxfId="688" priority="800" operator="containsText" text="Medium">
      <formula>NOT(ISERROR(SEARCH("Medium",AF60)))</formula>
    </cfRule>
    <cfRule type="containsText" dxfId="687" priority="801" operator="containsText" text="High">
      <formula>NOT(ISERROR(SEARCH("High",AF60)))</formula>
    </cfRule>
  </conditionalFormatting>
  <conditionalFormatting sqref="AF67">
    <cfRule type="expression" dxfId="686" priority="785">
      <formula>AF14="Nursery"</formula>
    </cfRule>
    <cfRule type="expression" dxfId="685" priority="786">
      <formula>OR(AF14="Secondary with sixth form",AF14="Secondary without sixth form")</formula>
    </cfRule>
    <cfRule type="containsText" dxfId="684" priority="795" operator="containsText" text="Well above">
      <formula>NOT(ISERROR(SEARCH("Well above",AF67)))</formula>
    </cfRule>
    <cfRule type="containsText" dxfId="683" priority="796" operator="containsText" text="Above">
      <formula>NOT(ISERROR(SEARCH("Above",AF67)))</formula>
    </cfRule>
    <cfRule type="containsText" dxfId="682" priority="797" operator="containsText" text="Well below">
      <formula>NOT(ISERROR(SEARCH("Well below",AF67)))</formula>
    </cfRule>
    <cfRule type="containsText" dxfId="681" priority="798" operator="containsText" text="Below">
      <formula>NOT(ISERROR(SEARCH("Below",AF67)))</formula>
    </cfRule>
  </conditionalFormatting>
  <conditionalFormatting sqref="AF68">
    <cfRule type="expression" dxfId="680" priority="772">
      <formula>OR(AF14="Secondary with sixth form",AF14="Secondary without sixth form",AF14="Nursery")</formula>
    </cfRule>
    <cfRule type="containsText" dxfId="679" priority="791" operator="containsText" text="Well above">
      <formula>NOT(ISERROR(SEARCH("Well above",AF68)))</formula>
    </cfRule>
    <cfRule type="containsText" dxfId="678" priority="792" operator="containsText" text="Above">
      <formula>NOT(ISERROR(SEARCH("Above",AF68)))</formula>
    </cfRule>
    <cfRule type="containsText" dxfId="677" priority="793" operator="containsText" text="Well below">
      <formula>NOT(ISERROR(SEARCH("Well below",AF68)))</formula>
    </cfRule>
    <cfRule type="containsText" dxfId="676" priority="794" operator="containsText" text="Below">
      <formula>NOT(ISERROR(SEARCH("Below",AF68)))</formula>
    </cfRule>
  </conditionalFormatting>
  <conditionalFormatting sqref="AD59">
    <cfRule type="expression" dxfId="675" priority="790">
      <formula>OR(AF14="Nursery",AF14="Alternative provision",AF14="Special")</formula>
    </cfRule>
  </conditionalFormatting>
  <conditionalFormatting sqref="AF69">
    <cfRule type="expression" dxfId="674" priority="779">
      <formula>OR(AF14="Secondary with sixth form",AF14="Secondary without sixth form",AF14="Nursery")</formula>
    </cfRule>
    <cfRule type="containsText" dxfId="673" priority="780" operator="containsText" text="Well above">
      <formula>NOT(ISERROR(SEARCH("Well above",AF69)))</formula>
    </cfRule>
    <cfRule type="containsText" dxfId="672" priority="781" operator="containsText" text="Above">
      <formula>NOT(ISERROR(SEARCH("Above",AF69)))</formula>
    </cfRule>
    <cfRule type="containsText" dxfId="671" priority="782" operator="containsText" text="Well below">
      <formula>NOT(ISERROR(SEARCH("Well below",AF69)))</formula>
    </cfRule>
    <cfRule type="containsText" dxfId="670" priority="783" operator="containsText" text="Below">
      <formula>NOT(ISERROR(SEARCH("Below",AF69)))</formula>
    </cfRule>
  </conditionalFormatting>
  <conditionalFormatting sqref="AF61">
    <cfRule type="expression" dxfId="669" priority="777">
      <formula>OR(AF14="Nursery",AF14="Alternative provision",AF14="Special")</formula>
    </cfRule>
  </conditionalFormatting>
  <conditionalFormatting sqref="AJ59">
    <cfRule type="expression" dxfId="668" priority="729">
      <formula>OR(AJ14="Nursery",AJ14="Alternative provision",AJ14="Special")</formula>
    </cfRule>
    <cfRule type="containsText" dxfId="667" priority="761" operator="containsText" text="Broadly">
      <formula>NOT(ISERROR(SEARCH("Broadly",AJ59)))</formula>
    </cfRule>
    <cfRule type="containsText" dxfId="666" priority="762" operator="containsText" text="Much">
      <formula>NOT(ISERROR(SEARCH("Much",AJ59)))</formula>
    </cfRule>
    <cfRule type="containsText" dxfId="665" priority="763" operator="containsText" text="Than">
      <formula>NOT(ISERROR(SEARCH("Than",AJ59)))</formula>
    </cfRule>
  </conditionalFormatting>
  <conditionalFormatting sqref="AJ66">
    <cfRule type="expression" dxfId="664" priority="726">
      <formula>AJ14="Nursery"</formula>
    </cfRule>
    <cfRule type="expression" dxfId="663" priority="727">
      <formula>AJ14="Primary"</formula>
    </cfRule>
    <cfRule type="containsText" dxfId="662" priority="753" operator="containsText" text="Well above">
      <formula>NOT(ISERROR(SEARCH("Well above",AJ66)))</formula>
    </cfRule>
    <cfRule type="containsText" dxfId="661" priority="754" operator="containsText" text="Above">
      <formula>NOT(ISERROR(SEARCH("Above",AJ66)))</formula>
    </cfRule>
    <cfRule type="containsText" dxfId="660" priority="755" operator="containsText" text="Well below">
      <formula>NOT(ISERROR(SEARCH("Well below",AJ66)))</formula>
    </cfRule>
    <cfRule type="containsText" dxfId="659" priority="756" operator="containsText" text="Below">
      <formula>NOT(ISERROR(SEARCH("Below",AJ66)))</formula>
    </cfRule>
  </conditionalFormatting>
  <conditionalFormatting sqref="AJ67">
    <cfRule type="expression" dxfId="658" priority="736">
      <formula>AJ14="Nursery"</formula>
    </cfRule>
    <cfRule type="expression" dxfId="657" priority="737">
      <formula>OR(AJ14="Secondary with sixth form",AJ14="Secondary without sixth form")</formula>
    </cfRule>
    <cfRule type="containsText" dxfId="656" priority="746" operator="containsText" text="Well above">
      <formula>NOT(ISERROR(SEARCH("Well above",AJ67)))</formula>
    </cfRule>
    <cfRule type="containsText" dxfId="655" priority="747" operator="containsText" text="Above">
      <formula>NOT(ISERROR(SEARCH("Above",AJ67)))</formula>
    </cfRule>
    <cfRule type="containsText" dxfId="654" priority="748" operator="containsText" text="Well below">
      <formula>NOT(ISERROR(SEARCH("Well below",AJ67)))</formula>
    </cfRule>
    <cfRule type="containsText" dxfId="653" priority="749" operator="containsText" text="Below">
      <formula>NOT(ISERROR(SEARCH("Below",AJ67)))</formula>
    </cfRule>
  </conditionalFormatting>
  <conditionalFormatting sqref="AJ68">
    <cfRule type="expression" dxfId="652" priority="723">
      <formula>OR(AJ14="Secondary with sixth form",AJ14="Secondary without sixth form",AJ14="Nursery")</formula>
    </cfRule>
    <cfRule type="containsText" dxfId="651" priority="742" operator="containsText" text="Well above">
      <formula>NOT(ISERROR(SEARCH("Well above",AJ68)))</formula>
    </cfRule>
    <cfRule type="containsText" dxfId="650" priority="743" operator="containsText" text="Above">
      <formula>NOT(ISERROR(SEARCH("Above",AJ68)))</formula>
    </cfRule>
    <cfRule type="containsText" dxfId="649" priority="744" operator="containsText" text="Well below">
      <formula>NOT(ISERROR(SEARCH("Well below",AJ68)))</formula>
    </cfRule>
    <cfRule type="containsText" dxfId="648" priority="745" operator="containsText" text="Below">
      <formula>NOT(ISERROR(SEARCH("Below",AJ68)))</formula>
    </cfRule>
  </conditionalFormatting>
  <conditionalFormatting sqref="AH59">
    <cfRule type="expression" dxfId="647" priority="741">
      <formula>OR(AJ14="Nursery",AJ14="Alternative provision",AJ14="Special")</formula>
    </cfRule>
  </conditionalFormatting>
  <conditionalFormatting sqref="AJ69">
    <cfRule type="expression" dxfId="646" priority="730">
      <formula>OR(AJ14="Secondary with sixth form",AJ14="Secondary without sixth form",AJ14="Nursery")</formula>
    </cfRule>
    <cfRule type="containsText" dxfId="645" priority="731" operator="containsText" text="Well above">
      <formula>NOT(ISERROR(SEARCH("Well above",AJ69)))</formula>
    </cfRule>
    <cfRule type="containsText" dxfId="644" priority="732" operator="containsText" text="Above">
      <formula>NOT(ISERROR(SEARCH("Above",AJ69)))</formula>
    </cfRule>
    <cfRule type="containsText" dxfId="643" priority="733" operator="containsText" text="Well below">
      <formula>NOT(ISERROR(SEARCH("Well below",AJ69)))</formula>
    </cfRule>
    <cfRule type="containsText" dxfId="642" priority="734" operator="containsText" text="Below">
      <formula>NOT(ISERROR(SEARCH("Below",AJ69)))</formula>
    </cfRule>
  </conditionalFormatting>
  <conditionalFormatting sqref="AJ61">
    <cfRule type="expression" dxfId="641" priority="728">
      <formula>OR(AJ14="Nursery",AJ14="Alternative provision",AJ14="Special")</formula>
    </cfRule>
  </conditionalFormatting>
  <conditionalFormatting sqref="AN38:AN45 AN55:AN58 AN61">
    <cfRule type="containsText" dxfId="640" priority="718" operator="containsText" text="Middle 20%">
      <formula>NOT(ISERROR(SEARCH("Middle 20%",AN38)))</formula>
    </cfRule>
    <cfRule type="containsText" dxfId="639" priority="719" operator="containsText" text="Broadly">
      <formula>NOT(ISERROR(SEARCH("Broadly",AN38)))</formula>
    </cfRule>
    <cfRule type="containsText" dxfId="638" priority="720" operator="containsText" text="20%">
      <formula>NOT(ISERROR(SEARCH("20%",AN38)))</formula>
    </cfRule>
    <cfRule type="containsText" dxfId="637" priority="721" operator="containsText" text="10%">
      <formula>NOT(ISERROR(SEARCH("10%",AN38)))</formula>
    </cfRule>
  </conditionalFormatting>
  <conditionalFormatting sqref="AN59">
    <cfRule type="expression" dxfId="636" priority="680">
      <formula>OR(AN14="Nursery",AN14="Alternative provision",AN14="Special")</formula>
    </cfRule>
    <cfRule type="containsText" dxfId="635" priority="712" operator="containsText" text="Broadly">
      <formula>NOT(ISERROR(SEARCH("Broadly",AN59)))</formula>
    </cfRule>
    <cfRule type="containsText" dxfId="634" priority="713" operator="containsText" text="Much">
      <formula>NOT(ISERROR(SEARCH("Much",AN59)))</formula>
    </cfRule>
    <cfRule type="containsText" dxfId="633" priority="714" operator="containsText" text="Than">
      <formula>NOT(ISERROR(SEARCH("Than",AN59)))</formula>
    </cfRule>
  </conditionalFormatting>
  <conditionalFormatting sqref="AN50:AN51">
    <cfRule type="containsText" dxfId="632" priority="715" operator="containsText" text="Low">
      <formula>NOT(ISERROR(SEARCH("Low",AN50)))</formula>
    </cfRule>
    <cfRule type="containsText" dxfId="631" priority="716" operator="containsText" text="Medium">
      <formula>NOT(ISERROR(SEARCH("Medium",AN50)))</formula>
    </cfRule>
    <cfRule type="containsText" dxfId="630" priority="717" operator="containsText" text="High">
      <formula>NOT(ISERROR(SEARCH("High",AN50)))</formula>
    </cfRule>
  </conditionalFormatting>
  <conditionalFormatting sqref="AN65">
    <cfRule type="containsText" dxfId="629" priority="708" operator="containsText" text="Outstanding">
      <formula>NOT(ISERROR(SEARCH("Outstanding",AN65)))</formula>
    </cfRule>
    <cfRule type="containsText" dxfId="628" priority="709" operator="containsText" text="Good">
      <formula>NOT(ISERROR(SEARCH("Good",AN65)))</formula>
    </cfRule>
    <cfRule type="containsText" dxfId="627" priority="710" operator="containsText" text="Requires Improvement">
      <formula>NOT(ISERROR(SEARCH("Requires Improvement",AN65)))</formula>
    </cfRule>
    <cfRule type="containsText" dxfId="626" priority="711" operator="containsText" text="Inadequate">
      <formula>NOT(ISERROR(SEARCH("Inadequate",AN65)))</formula>
    </cfRule>
  </conditionalFormatting>
  <conditionalFormatting sqref="AN66">
    <cfRule type="expression" dxfId="625" priority="677">
      <formula>AN14="Nursery"</formula>
    </cfRule>
    <cfRule type="expression" dxfId="624" priority="678">
      <formula>AN14="Primary"</formula>
    </cfRule>
    <cfRule type="containsText" dxfId="623" priority="704" operator="containsText" text="Well above">
      <formula>NOT(ISERROR(SEARCH("Well above",AN66)))</formula>
    </cfRule>
    <cfRule type="containsText" dxfId="622" priority="705" operator="containsText" text="Above">
      <formula>NOT(ISERROR(SEARCH("Above",AN66)))</formula>
    </cfRule>
    <cfRule type="containsText" dxfId="621" priority="706" operator="containsText" text="Well below">
      <formula>NOT(ISERROR(SEARCH("Well below",AN66)))</formula>
    </cfRule>
    <cfRule type="containsText" dxfId="620" priority="707" operator="containsText" text="Below">
      <formula>NOT(ISERROR(SEARCH("Below",AN66)))</formula>
    </cfRule>
  </conditionalFormatting>
  <conditionalFormatting sqref="AN60">
    <cfRule type="containsText" dxfId="619" priority="701" operator="containsText" text="Low">
      <formula>NOT(ISERROR(SEARCH("Low",AN60)))</formula>
    </cfRule>
    <cfRule type="containsText" dxfId="618" priority="702" operator="containsText" text="Medium">
      <formula>NOT(ISERROR(SEARCH("Medium",AN60)))</formula>
    </cfRule>
    <cfRule type="containsText" dxfId="617" priority="703" operator="containsText" text="High">
      <formula>NOT(ISERROR(SEARCH("High",AN60)))</formula>
    </cfRule>
  </conditionalFormatting>
  <conditionalFormatting sqref="AN67">
    <cfRule type="expression" dxfId="616" priority="687">
      <formula>AN14="Nursery"</formula>
    </cfRule>
    <cfRule type="expression" dxfId="615" priority="688">
      <formula>OR(AN14="Secondary with sixth form",AN14="Secondary without sixth form")</formula>
    </cfRule>
    <cfRule type="containsText" dxfId="614" priority="697" operator="containsText" text="Well above">
      <formula>NOT(ISERROR(SEARCH("Well above",AN67)))</formula>
    </cfRule>
    <cfRule type="containsText" dxfId="613" priority="698" operator="containsText" text="Above">
      <formula>NOT(ISERROR(SEARCH("Above",AN67)))</formula>
    </cfRule>
    <cfRule type="containsText" dxfId="612" priority="699" operator="containsText" text="Well below">
      <formula>NOT(ISERROR(SEARCH("Well below",AN67)))</formula>
    </cfRule>
    <cfRule type="containsText" dxfId="611" priority="700" operator="containsText" text="Below">
      <formula>NOT(ISERROR(SEARCH("Below",AN67)))</formula>
    </cfRule>
  </conditionalFormatting>
  <conditionalFormatting sqref="AN68">
    <cfRule type="expression" dxfId="610" priority="674">
      <formula>OR(AN14="Secondary with sixth form",AN14="Secondary without sixth form",AN14="Nursery")</formula>
    </cfRule>
    <cfRule type="containsText" dxfId="609" priority="693" operator="containsText" text="Well above">
      <formula>NOT(ISERROR(SEARCH("Well above",AN68)))</formula>
    </cfRule>
    <cfRule type="containsText" dxfId="608" priority="694" operator="containsText" text="Above">
      <formula>NOT(ISERROR(SEARCH("Above",AN68)))</formula>
    </cfRule>
    <cfRule type="containsText" dxfId="607" priority="695" operator="containsText" text="Well below">
      <formula>NOT(ISERROR(SEARCH("Well below",AN68)))</formula>
    </cfRule>
    <cfRule type="containsText" dxfId="606" priority="696" operator="containsText" text="Below">
      <formula>NOT(ISERROR(SEARCH("Below",AN68)))</formula>
    </cfRule>
  </conditionalFormatting>
  <conditionalFormatting sqref="AL59">
    <cfRule type="expression" dxfId="605" priority="692">
      <formula>OR(AN14="Nursery",AN14="Alternative provision",AN14="Special")</formula>
    </cfRule>
  </conditionalFormatting>
  <conditionalFormatting sqref="AN69">
    <cfRule type="expression" dxfId="604" priority="681">
      <formula>OR(AN14="Secondary with sixth form",AN14="Secondary without sixth form",AN14="Nursery")</formula>
    </cfRule>
    <cfRule type="containsText" dxfId="603" priority="682" operator="containsText" text="Well above">
      <formula>NOT(ISERROR(SEARCH("Well above",AN69)))</formula>
    </cfRule>
    <cfRule type="containsText" dxfId="602" priority="683" operator="containsText" text="Above">
      <formula>NOT(ISERROR(SEARCH("Above",AN69)))</formula>
    </cfRule>
    <cfRule type="containsText" dxfId="601" priority="684" operator="containsText" text="Well below">
      <formula>NOT(ISERROR(SEARCH("Well below",AN69)))</formula>
    </cfRule>
    <cfRule type="containsText" dxfId="600" priority="685" operator="containsText" text="Below">
      <formula>NOT(ISERROR(SEARCH("Below",AN69)))</formula>
    </cfRule>
  </conditionalFormatting>
  <conditionalFormatting sqref="AN61">
    <cfRule type="expression" dxfId="599" priority="679">
      <formula>OR(AN14="Nursery",AN14="Alternative provision",AN14="Special")</formula>
    </cfRule>
  </conditionalFormatting>
  <conditionalFormatting sqref="AR38:AR45 AR55:AR58 AR61">
    <cfRule type="containsText" dxfId="598" priority="669" operator="containsText" text="Middle 20%">
      <formula>NOT(ISERROR(SEARCH("Middle 20%",AR38)))</formula>
    </cfRule>
    <cfRule type="containsText" dxfId="597" priority="670" operator="containsText" text="Broadly">
      <formula>NOT(ISERROR(SEARCH("Broadly",AR38)))</formula>
    </cfRule>
    <cfRule type="containsText" dxfId="596" priority="671" operator="containsText" text="20%">
      <formula>NOT(ISERROR(SEARCH("20%",AR38)))</formula>
    </cfRule>
    <cfRule type="containsText" dxfId="595" priority="672" operator="containsText" text="10%">
      <formula>NOT(ISERROR(SEARCH("10%",AR38)))</formula>
    </cfRule>
  </conditionalFormatting>
  <conditionalFormatting sqref="AR59">
    <cfRule type="expression" dxfId="594" priority="631">
      <formula>OR(AR14="Nursery",AR14="Alternative provision",AR14="Special")</formula>
    </cfRule>
    <cfRule type="containsText" dxfId="593" priority="663" operator="containsText" text="Broadly">
      <formula>NOT(ISERROR(SEARCH("Broadly",AR59)))</formula>
    </cfRule>
    <cfRule type="containsText" dxfId="592" priority="664" operator="containsText" text="Much">
      <formula>NOT(ISERROR(SEARCH("Much",AR59)))</formula>
    </cfRule>
    <cfRule type="containsText" dxfId="591" priority="665" operator="containsText" text="Than">
      <formula>NOT(ISERROR(SEARCH("Than",AR59)))</formula>
    </cfRule>
  </conditionalFormatting>
  <conditionalFormatting sqref="AR50:AR51">
    <cfRule type="containsText" dxfId="590" priority="666" operator="containsText" text="Low">
      <formula>NOT(ISERROR(SEARCH("Low",AR50)))</formula>
    </cfRule>
    <cfRule type="containsText" dxfId="589" priority="667" operator="containsText" text="Medium">
      <formula>NOT(ISERROR(SEARCH("Medium",AR50)))</formula>
    </cfRule>
    <cfRule type="containsText" dxfId="588" priority="668" operator="containsText" text="High">
      <formula>NOT(ISERROR(SEARCH("High",AR50)))</formula>
    </cfRule>
  </conditionalFormatting>
  <conditionalFormatting sqref="AR65">
    <cfRule type="containsText" dxfId="587" priority="659" operator="containsText" text="Outstanding">
      <formula>NOT(ISERROR(SEARCH("Outstanding",AR65)))</formula>
    </cfRule>
    <cfRule type="containsText" dxfId="586" priority="660" operator="containsText" text="Good">
      <formula>NOT(ISERROR(SEARCH("Good",AR65)))</formula>
    </cfRule>
    <cfRule type="containsText" dxfId="585" priority="661" operator="containsText" text="Requires Improvement">
      <formula>NOT(ISERROR(SEARCH("Requires Improvement",AR65)))</formula>
    </cfRule>
    <cfRule type="containsText" dxfId="584" priority="662" operator="containsText" text="Inadequate">
      <formula>NOT(ISERROR(SEARCH("Inadequate",AR65)))</formula>
    </cfRule>
  </conditionalFormatting>
  <conditionalFormatting sqref="AR66">
    <cfRule type="expression" dxfId="583" priority="628">
      <formula>AR14="Nursery"</formula>
    </cfRule>
    <cfRule type="expression" dxfId="582" priority="629">
      <formula>AR14="Primary"</formula>
    </cfRule>
    <cfRule type="containsText" dxfId="581" priority="655" operator="containsText" text="Well above">
      <formula>NOT(ISERROR(SEARCH("Well above",AR66)))</formula>
    </cfRule>
    <cfRule type="containsText" dxfId="580" priority="656" operator="containsText" text="Above">
      <formula>NOT(ISERROR(SEARCH("Above",AR66)))</formula>
    </cfRule>
    <cfRule type="containsText" dxfId="579" priority="657" operator="containsText" text="Well below">
      <formula>NOT(ISERROR(SEARCH("Well below",AR66)))</formula>
    </cfRule>
    <cfRule type="containsText" dxfId="578" priority="658" operator="containsText" text="Below">
      <formula>NOT(ISERROR(SEARCH("Below",AR66)))</formula>
    </cfRule>
  </conditionalFormatting>
  <conditionalFormatting sqref="AR60">
    <cfRule type="containsText" dxfId="577" priority="652" operator="containsText" text="Low">
      <formula>NOT(ISERROR(SEARCH("Low",AR60)))</formula>
    </cfRule>
    <cfRule type="containsText" dxfId="576" priority="653" operator="containsText" text="Medium">
      <formula>NOT(ISERROR(SEARCH("Medium",AR60)))</formula>
    </cfRule>
    <cfRule type="containsText" dxfId="575" priority="654" operator="containsText" text="High">
      <formula>NOT(ISERROR(SEARCH("High",AR60)))</formula>
    </cfRule>
  </conditionalFormatting>
  <conditionalFormatting sqref="AR67">
    <cfRule type="expression" dxfId="574" priority="638">
      <formula>AR14="Nursery"</formula>
    </cfRule>
    <cfRule type="expression" dxfId="573" priority="639">
      <formula>OR(AR14="Secondary with sixth form",AR14="Secondary without sixth form")</formula>
    </cfRule>
    <cfRule type="containsText" dxfId="572" priority="648" operator="containsText" text="Well above">
      <formula>NOT(ISERROR(SEARCH("Well above",AR67)))</formula>
    </cfRule>
    <cfRule type="containsText" dxfId="571" priority="649" operator="containsText" text="Above">
      <formula>NOT(ISERROR(SEARCH("Above",AR67)))</formula>
    </cfRule>
    <cfRule type="containsText" dxfId="570" priority="650" operator="containsText" text="Well below">
      <formula>NOT(ISERROR(SEARCH("Well below",AR67)))</formula>
    </cfRule>
    <cfRule type="containsText" dxfId="569" priority="651" operator="containsText" text="Below">
      <formula>NOT(ISERROR(SEARCH("Below",AR67)))</formula>
    </cfRule>
  </conditionalFormatting>
  <conditionalFormatting sqref="AR68">
    <cfRule type="expression" dxfId="568" priority="625">
      <formula>OR(AR14="Secondary with sixth form",AR14="Secondary without sixth form",AR14="Nursery")</formula>
    </cfRule>
    <cfRule type="containsText" dxfId="567" priority="644" operator="containsText" text="Well above">
      <formula>NOT(ISERROR(SEARCH("Well above",AR68)))</formula>
    </cfRule>
    <cfRule type="containsText" dxfId="566" priority="645" operator="containsText" text="Above">
      <formula>NOT(ISERROR(SEARCH("Above",AR68)))</formula>
    </cfRule>
    <cfRule type="containsText" dxfId="565" priority="646" operator="containsText" text="Well below">
      <formula>NOT(ISERROR(SEARCH("Well below",AR68)))</formula>
    </cfRule>
    <cfRule type="containsText" dxfId="564" priority="647" operator="containsText" text="Below">
      <formula>NOT(ISERROR(SEARCH("Below",AR68)))</formula>
    </cfRule>
  </conditionalFormatting>
  <conditionalFormatting sqref="AP59">
    <cfRule type="expression" dxfId="563" priority="643">
      <formula>OR(AR14="Nursery",AR14="Alternative provision",AR14="Special")</formula>
    </cfRule>
  </conditionalFormatting>
  <conditionalFormatting sqref="AR69">
    <cfRule type="expression" dxfId="562" priority="632">
      <formula>OR(AR14="Secondary with sixth form",AR14="Secondary without sixth form",AR14="Nursery")</formula>
    </cfRule>
    <cfRule type="containsText" dxfId="561" priority="633" operator="containsText" text="Well above">
      <formula>NOT(ISERROR(SEARCH("Well above",AR69)))</formula>
    </cfRule>
    <cfRule type="containsText" dxfId="560" priority="634" operator="containsText" text="Above">
      <formula>NOT(ISERROR(SEARCH("Above",AR69)))</formula>
    </cfRule>
    <cfRule type="containsText" dxfId="559" priority="635" operator="containsText" text="Well below">
      <formula>NOT(ISERROR(SEARCH("Well below",AR69)))</formula>
    </cfRule>
    <cfRule type="containsText" dxfId="558" priority="636" operator="containsText" text="Below">
      <formula>NOT(ISERROR(SEARCH("Below",AR69)))</formula>
    </cfRule>
  </conditionalFormatting>
  <conditionalFormatting sqref="AR61">
    <cfRule type="expression" dxfId="557" priority="630">
      <formula>OR(AR14="Nursery",AR14="Alternative provision",AR14="Special")</formula>
    </cfRule>
  </conditionalFormatting>
  <conditionalFormatting sqref="AV38:AV45 AV55:AV58 AV61">
    <cfRule type="containsText" dxfId="556" priority="620" operator="containsText" text="Middle 20%">
      <formula>NOT(ISERROR(SEARCH("Middle 20%",AV38)))</formula>
    </cfRule>
    <cfRule type="containsText" dxfId="555" priority="621" operator="containsText" text="Broadly">
      <formula>NOT(ISERROR(SEARCH("Broadly",AV38)))</formula>
    </cfRule>
    <cfRule type="containsText" dxfId="554" priority="622" operator="containsText" text="20%">
      <formula>NOT(ISERROR(SEARCH("20%",AV38)))</formula>
    </cfRule>
    <cfRule type="containsText" dxfId="553" priority="623" operator="containsText" text="10%">
      <formula>NOT(ISERROR(SEARCH("10%",AV38)))</formula>
    </cfRule>
  </conditionalFormatting>
  <conditionalFormatting sqref="AV59">
    <cfRule type="expression" dxfId="552" priority="582">
      <formula>OR(AV14="Nursery",AV14="Alternative provision",AV14="Special")</formula>
    </cfRule>
    <cfRule type="containsText" dxfId="551" priority="614" operator="containsText" text="Broadly">
      <formula>NOT(ISERROR(SEARCH("Broadly",AV59)))</formula>
    </cfRule>
    <cfRule type="containsText" dxfId="550" priority="615" operator="containsText" text="Much">
      <formula>NOT(ISERROR(SEARCH("Much",AV59)))</formula>
    </cfRule>
    <cfRule type="containsText" dxfId="549" priority="616" operator="containsText" text="Than">
      <formula>NOT(ISERROR(SEARCH("Than",AV59)))</formula>
    </cfRule>
  </conditionalFormatting>
  <conditionalFormatting sqref="AV50:AV51">
    <cfRule type="containsText" dxfId="548" priority="617" operator="containsText" text="Low">
      <formula>NOT(ISERROR(SEARCH("Low",AV50)))</formula>
    </cfRule>
    <cfRule type="containsText" dxfId="547" priority="618" operator="containsText" text="Medium">
      <formula>NOT(ISERROR(SEARCH("Medium",AV50)))</formula>
    </cfRule>
    <cfRule type="containsText" dxfId="546" priority="619" operator="containsText" text="High">
      <formula>NOT(ISERROR(SEARCH("High",AV50)))</formula>
    </cfRule>
  </conditionalFormatting>
  <conditionalFormatting sqref="AV65">
    <cfRule type="containsText" dxfId="545" priority="610" operator="containsText" text="Outstanding">
      <formula>NOT(ISERROR(SEARCH("Outstanding",AV65)))</formula>
    </cfRule>
    <cfRule type="containsText" dxfId="544" priority="611" operator="containsText" text="Good">
      <formula>NOT(ISERROR(SEARCH("Good",AV65)))</formula>
    </cfRule>
    <cfRule type="containsText" dxfId="543" priority="612" operator="containsText" text="Requires Improvement">
      <formula>NOT(ISERROR(SEARCH("Requires Improvement",AV65)))</formula>
    </cfRule>
    <cfRule type="containsText" dxfId="542" priority="613" operator="containsText" text="Inadequate">
      <formula>NOT(ISERROR(SEARCH("Inadequate",AV65)))</formula>
    </cfRule>
  </conditionalFormatting>
  <conditionalFormatting sqref="AV66">
    <cfRule type="expression" dxfId="541" priority="579">
      <formula>AV14="Nursery"</formula>
    </cfRule>
    <cfRule type="expression" dxfId="540" priority="580">
      <formula>AV14="Primary"</formula>
    </cfRule>
    <cfRule type="containsText" dxfId="539" priority="606" operator="containsText" text="Well above">
      <formula>NOT(ISERROR(SEARCH("Well above",AV66)))</formula>
    </cfRule>
    <cfRule type="containsText" dxfId="538" priority="607" operator="containsText" text="Above">
      <formula>NOT(ISERROR(SEARCH("Above",AV66)))</formula>
    </cfRule>
    <cfRule type="containsText" dxfId="537" priority="608" operator="containsText" text="Well below">
      <formula>NOT(ISERROR(SEARCH("Well below",AV66)))</formula>
    </cfRule>
    <cfRule type="containsText" dxfId="536" priority="609" operator="containsText" text="Below">
      <formula>NOT(ISERROR(SEARCH("Below",AV66)))</formula>
    </cfRule>
  </conditionalFormatting>
  <conditionalFormatting sqref="AV60">
    <cfRule type="containsText" dxfId="535" priority="603" operator="containsText" text="Low">
      <formula>NOT(ISERROR(SEARCH("Low",AV60)))</formula>
    </cfRule>
    <cfRule type="containsText" dxfId="534" priority="604" operator="containsText" text="Medium">
      <formula>NOT(ISERROR(SEARCH("Medium",AV60)))</formula>
    </cfRule>
    <cfRule type="containsText" dxfId="533" priority="605" operator="containsText" text="High">
      <formula>NOT(ISERROR(SEARCH("High",AV60)))</formula>
    </cfRule>
  </conditionalFormatting>
  <conditionalFormatting sqref="AV67">
    <cfRule type="expression" dxfId="532" priority="589">
      <formula>AV14="Nursery"</formula>
    </cfRule>
    <cfRule type="expression" dxfId="531" priority="590">
      <formula>OR(AV14="Secondary with sixth form",AV14="Secondary without sixth form")</formula>
    </cfRule>
    <cfRule type="containsText" dxfId="530" priority="599" operator="containsText" text="Well above">
      <formula>NOT(ISERROR(SEARCH("Well above",AV67)))</formula>
    </cfRule>
    <cfRule type="containsText" dxfId="529" priority="600" operator="containsText" text="Above">
      <formula>NOT(ISERROR(SEARCH("Above",AV67)))</formula>
    </cfRule>
    <cfRule type="containsText" dxfId="528" priority="601" operator="containsText" text="Well below">
      <formula>NOT(ISERROR(SEARCH("Well below",AV67)))</formula>
    </cfRule>
    <cfRule type="containsText" dxfId="527" priority="602" operator="containsText" text="Below">
      <formula>NOT(ISERROR(SEARCH("Below",AV67)))</formula>
    </cfRule>
  </conditionalFormatting>
  <conditionalFormatting sqref="AV68">
    <cfRule type="expression" dxfId="526" priority="576">
      <formula>OR(AV14="Secondary with sixth form",AV14="Secondary without sixth form",AV14="Nursery")</formula>
    </cfRule>
    <cfRule type="containsText" dxfId="525" priority="595" operator="containsText" text="Well above">
      <formula>NOT(ISERROR(SEARCH("Well above",AV68)))</formula>
    </cfRule>
    <cfRule type="containsText" dxfId="524" priority="596" operator="containsText" text="Above">
      <formula>NOT(ISERROR(SEARCH("Above",AV68)))</formula>
    </cfRule>
    <cfRule type="containsText" dxfId="523" priority="597" operator="containsText" text="Well below">
      <formula>NOT(ISERROR(SEARCH("Well below",AV68)))</formula>
    </cfRule>
    <cfRule type="containsText" dxfId="522" priority="598" operator="containsText" text="Below">
      <formula>NOT(ISERROR(SEARCH("Below",AV68)))</formula>
    </cfRule>
  </conditionalFormatting>
  <conditionalFormatting sqref="AT59">
    <cfRule type="expression" dxfId="521" priority="594">
      <formula>OR(AV14="Nursery",AV14="Alternative provision",AV14="Special")</formula>
    </cfRule>
  </conditionalFormatting>
  <conditionalFormatting sqref="AV69">
    <cfRule type="expression" dxfId="520" priority="583">
      <formula>OR(AV14="Secondary with sixth form",AV14="Secondary without sixth form",AV14="Nursery")</formula>
    </cfRule>
    <cfRule type="containsText" dxfId="519" priority="584" operator="containsText" text="Well above">
      <formula>NOT(ISERROR(SEARCH("Well above",AV69)))</formula>
    </cfRule>
    <cfRule type="containsText" dxfId="518" priority="585" operator="containsText" text="Above">
      <formula>NOT(ISERROR(SEARCH("Above",AV69)))</formula>
    </cfRule>
    <cfRule type="containsText" dxfId="517" priority="586" operator="containsText" text="Well below">
      <formula>NOT(ISERROR(SEARCH("Well below",AV69)))</formula>
    </cfRule>
    <cfRule type="containsText" dxfId="516" priority="587" operator="containsText" text="Below">
      <formula>NOT(ISERROR(SEARCH("Below",AV69)))</formula>
    </cfRule>
  </conditionalFormatting>
  <conditionalFormatting sqref="AV61">
    <cfRule type="expression" dxfId="515" priority="581">
      <formula>OR(AV14="Nursery",AV14="Alternative provision",AV14="Special")</formula>
    </cfRule>
  </conditionalFormatting>
  <conditionalFormatting sqref="AZ38:AZ45 AZ55:AZ58 AZ61">
    <cfRule type="containsText" dxfId="514" priority="571" operator="containsText" text="Middle 20%">
      <formula>NOT(ISERROR(SEARCH("Middle 20%",AZ38)))</formula>
    </cfRule>
    <cfRule type="containsText" dxfId="513" priority="572" operator="containsText" text="Broadly">
      <formula>NOT(ISERROR(SEARCH("Broadly",AZ38)))</formula>
    </cfRule>
    <cfRule type="containsText" dxfId="512" priority="573" operator="containsText" text="20%">
      <formula>NOT(ISERROR(SEARCH("20%",AZ38)))</formula>
    </cfRule>
    <cfRule type="containsText" dxfId="511" priority="574" operator="containsText" text="10%">
      <formula>NOT(ISERROR(SEARCH("10%",AZ38)))</formula>
    </cfRule>
  </conditionalFormatting>
  <conditionalFormatting sqref="AZ59">
    <cfRule type="expression" dxfId="510" priority="533">
      <formula>OR(AZ14="Nursery",AZ14="Alternative provision",AZ14="Special")</formula>
    </cfRule>
    <cfRule type="containsText" dxfId="509" priority="565" operator="containsText" text="Broadly">
      <formula>NOT(ISERROR(SEARCH("Broadly",AZ59)))</formula>
    </cfRule>
    <cfRule type="containsText" dxfId="508" priority="566" operator="containsText" text="Much">
      <formula>NOT(ISERROR(SEARCH("Much",AZ59)))</formula>
    </cfRule>
    <cfRule type="containsText" dxfId="507" priority="567" operator="containsText" text="Than">
      <formula>NOT(ISERROR(SEARCH("Than",AZ59)))</formula>
    </cfRule>
  </conditionalFormatting>
  <conditionalFormatting sqref="AZ50:AZ51">
    <cfRule type="containsText" dxfId="506" priority="568" operator="containsText" text="Low">
      <formula>NOT(ISERROR(SEARCH("Low",AZ50)))</formula>
    </cfRule>
    <cfRule type="containsText" dxfId="505" priority="569" operator="containsText" text="Medium">
      <formula>NOT(ISERROR(SEARCH("Medium",AZ50)))</formula>
    </cfRule>
    <cfRule type="containsText" dxfId="504" priority="570" operator="containsText" text="High">
      <formula>NOT(ISERROR(SEARCH("High",AZ50)))</formula>
    </cfRule>
  </conditionalFormatting>
  <conditionalFormatting sqref="AZ65">
    <cfRule type="containsText" dxfId="503" priority="561" operator="containsText" text="Outstanding">
      <formula>NOT(ISERROR(SEARCH("Outstanding",AZ65)))</formula>
    </cfRule>
    <cfRule type="containsText" dxfId="502" priority="562" operator="containsText" text="Good">
      <formula>NOT(ISERROR(SEARCH("Good",AZ65)))</formula>
    </cfRule>
    <cfRule type="containsText" dxfId="501" priority="563" operator="containsText" text="Requires Improvement">
      <formula>NOT(ISERROR(SEARCH("Requires Improvement",AZ65)))</formula>
    </cfRule>
    <cfRule type="containsText" dxfId="500" priority="564" operator="containsText" text="Inadequate">
      <formula>NOT(ISERROR(SEARCH("Inadequate",AZ65)))</formula>
    </cfRule>
  </conditionalFormatting>
  <conditionalFormatting sqref="AZ66">
    <cfRule type="expression" dxfId="499" priority="530">
      <formula>AZ14="Nursery"</formula>
    </cfRule>
    <cfRule type="expression" dxfId="498" priority="531">
      <formula>AZ14="Primary"</formula>
    </cfRule>
    <cfRule type="containsText" dxfId="497" priority="557" operator="containsText" text="Well above">
      <formula>NOT(ISERROR(SEARCH("Well above",AZ66)))</formula>
    </cfRule>
    <cfRule type="containsText" dxfId="496" priority="558" operator="containsText" text="Above">
      <formula>NOT(ISERROR(SEARCH("Above",AZ66)))</formula>
    </cfRule>
    <cfRule type="containsText" dxfId="495" priority="559" operator="containsText" text="Well below">
      <formula>NOT(ISERROR(SEARCH("Well below",AZ66)))</formula>
    </cfRule>
    <cfRule type="containsText" dxfId="494" priority="560" operator="containsText" text="Below">
      <formula>NOT(ISERROR(SEARCH("Below",AZ66)))</formula>
    </cfRule>
  </conditionalFormatting>
  <conditionalFormatting sqref="AZ60">
    <cfRule type="containsText" dxfId="493" priority="554" operator="containsText" text="Low">
      <formula>NOT(ISERROR(SEARCH("Low",AZ60)))</formula>
    </cfRule>
    <cfRule type="containsText" dxfId="492" priority="555" operator="containsText" text="Medium">
      <formula>NOT(ISERROR(SEARCH("Medium",AZ60)))</formula>
    </cfRule>
    <cfRule type="containsText" dxfId="491" priority="556" operator="containsText" text="High">
      <formula>NOT(ISERROR(SEARCH("High",AZ60)))</formula>
    </cfRule>
  </conditionalFormatting>
  <conditionalFormatting sqref="AZ67">
    <cfRule type="expression" dxfId="490" priority="540">
      <formula>AZ14="Nursery"</formula>
    </cfRule>
    <cfRule type="expression" dxfId="489" priority="541">
      <formula>OR(AZ14="Secondary with sixth form",AZ14="Secondary without sixth form")</formula>
    </cfRule>
    <cfRule type="containsText" dxfId="488" priority="550" operator="containsText" text="Well above">
      <formula>NOT(ISERROR(SEARCH("Well above",AZ67)))</formula>
    </cfRule>
    <cfRule type="containsText" dxfId="487" priority="551" operator="containsText" text="Above">
      <formula>NOT(ISERROR(SEARCH("Above",AZ67)))</formula>
    </cfRule>
    <cfRule type="containsText" dxfId="486" priority="552" operator="containsText" text="Well below">
      <formula>NOT(ISERROR(SEARCH("Well below",AZ67)))</formula>
    </cfRule>
    <cfRule type="containsText" dxfId="485" priority="553" operator="containsText" text="Below">
      <formula>NOT(ISERROR(SEARCH("Below",AZ67)))</formula>
    </cfRule>
  </conditionalFormatting>
  <conditionalFormatting sqref="AZ68">
    <cfRule type="expression" dxfId="484" priority="527">
      <formula>OR(AZ14="Secondary with sixth form",AZ14="Secondary without sixth form",AZ14="Nursery")</formula>
    </cfRule>
    <cfRule type="containsText" dxfId="483" priority="546" operator="containsText" text="Well above">
      <formula>NOT(ISERROR(SEARCH("Well above",AZ68)))</formula>
    </cfRule>
    <cfRule type="containsText" dxfId="482" priority="547" operator="containsText" text="Above">
      <formula>NOT(ISERROR(SEARCH("Above",AZ68)))</formula>
    </cfRule>
    <cfRule type="containsText" dxfId="481" priority="548" operator="containsText" text="Well below">
      <formula>NOT(ISERROR(SEARCH("Well below",AZ68)))</formula>
    </cfRule>
    <cfRule type="containsText" dxfId="480" priority="549" operator="containsText" text="Below">
      <formula>NOT(ISERROR(SEARCH("Below",AZ68)))</formula>
    </cfRule>
  </conditionalFormatting>
  <conditionalFormatting sqref="AX59">
    <cfRule type="expression" dxfId="479" priority="545">
      <formula>OR(AZ14="Nursery",AZ14="Alternative provision",AZ14="Special")</formula>
    </cfRule>
  </conditionalFormatting>
  <conditionalFormatting sqref="AZ69">
    <cfRule type="expression" dxfId="478" priority="534">
      <formula>OR(AZ14="Secondary with sixth form",AZ14="Secondary without sixth form",AZ14="Nursery")</formula>
    </cfRule>
    <cfRule type="containsText" dxfId="477" priority="535" operator="containsText" text="Well above">
      <formula>NOT(ISERROR(SEARCH("Well above",AZ69)))</formula>
    </cfRule>
    <cfRule type="containsText" dxfId="476" priority="536" operator="containsText" text="Above">
      <formula>NOT(ISERROR(SEARCH("Above",AZ69)))</formula>
    </cfRule>
    <cfRule type="containsText" dxfId="475" priority="537" operator="containsText" text="Well below">
      <formula>NOT(ISERROR(SEARCH("Well below",AZ69)))</formula>
    </cfRule>
    <cfRule type="containsText" dxfId="474" priority="538" operator="containsText" text="Below">
      <formula>NOT(ISERROR(SEARCH("Below",AZ69)))</formula>
    </cfRule>
  </conditionalFormatting>
  <conditionalFormatting sqref="AZ61">
    <cfRule type="expression" dxfId="473" priority="532">
      <formula>OR(AZ14="Nursery",AZ14="Alternative provision",AZ14="Special")</formula>
    </cfRule>
  </conditionalFormatting>
  <conditionalFormatting sqref="BD38:BD45 BD55:BD58 BD61">
    <cfRule type="containsText" dxfId="472" priority="522" operator="containsText" text="Middle 20%">
      <formula>NOT(ISERROR(SEARCH("Middle 20%",BD38)))</formula>
    </cfRule>
    <cfRule type="containsText" dxfId="471" priority="523" operator="containsText" text="Broadly">
      <formula>NOT(ISERROR(SEARCH("Broadly",BD38)))</formula>
    </cfRule>
    <cfRule type="containsText" dxfId="470" priority="524" operator="containsText" text="20%">
      <formula>NOT(ISERROR(SEARCH("20%",BD38)))</formula>
    </cfRule>
    <cfRule type="containsText" dxfId="469" priority="525" operator="containsText" text="10%">
      <formula>NOT(ISERROR(SEARCH("10%",BD38)))</formula>
    </cfRule>
  </conditionalFormatting>
  <conditionalFormatting sqref="BD59">
    <cfRule type="expression" dxfId="468" priority="484">
      <formula>OR(BD14="Nursery",BD14="Alternative provision",BD14="Special")</formula>
    </cfRule>
    <cfRule type="containsText" dxfId="467" priority="516" operator="containsText" text="Broadly">
      <formula>NOT(ISERROR(SEARCH("Broadly",BD59)))</formula>
    </cfRule>
    <cfRule type="containsText" dxfId="466" priority="517" operator="containsText" text="Much">
      <formula>NOT(ISERROR(SEARCH("Much",BD59)))</formula>
    </cfRule>
    <cfRule type="containsText" dxfId="465" priority="518" operator="containsText" text="Than">
      <formula>NOT(ISERROR(SEARCH("Than",BD59)))</formula>
    </cfRule>
  </conditionalFormatting>
  <conditionalFormatting sqref="BD50:BD51">
    <cfRule type="containsText" dxfId="464" priority="519" operator="containsText" text="Low">
      <formula>NOT(ISERROR(SEARCH("Low",BD50)))</formula>
    </cfRule>
    <cfRule type="containsText" dxfId="463" priority="520" operator="containsText" text="Medium">
      <formula>NOT(ISERROR(SEARCH("Medium",BD50)))</formula>
    </cfRule>
    <cfRule type="containsText" dxfId="462" priority="521" operator="containsText" text="High">
      <formula>NOT(ISERROR(SEARCH("High",BD50)))</formula>
    </cfRule>
  </conditionalFormatting>
  <conditionalFormatting sqref="BD65">
    <cfRule type="containsText" dxfId="461" priority="512" operator="containsText" text="Outstanding">
      <formula>NOT(ISERROR(SEARCH("Outstanding",BD65)))</formula>
    </cfRule>
    <cfRule type="containsText" dxfId="460" priority="513" operator="containsText" text="Good">
      <formula>NOT(ISERROR(SEARCH("Good",BD65)))</formula>
    </cfRule>
    <cfRule type="containsText" dxfId="459" priority="514" operator="containsText" text="Requires Improvement">
      <formula>NOT(ISERROR(SEARCH("Requires Improvement",BD65)))</formula>
    </cfRule>
    <cfRule type="containsText" dxfId="458" priority="515" operator="containsText" text="Inadequate">
      <formula>NOT(ISERROR(SEARCH("Inadequate",BD65)))</formula>
    </cfRule>
  </conditionalFormatting>
  <conditionalFormatting sqref="BD66">
    <cfRule type="expression" dxfId="457" priority="481">
      <formula>BD14="Nursery"</formula>
    </cfRule>
    <cfRule type="expression" dxfId="456" priority="482">
      <formula>BD14="Primary"</formula>
    </cfRule>
    <cfRule type="containsText" dxfId="455" priority="508" operator="containsText" text="Well above">
      <formula>NOT(ISERROR(SEARCH("Well above",BD66)))</formula>
    </cfRule>
    <cfRule type="containsText" dxfId="454" priority="509" operator="containsText" text="Above">
      <formula>NOT(ISERROR(SEARCH("Above",BD66)))</formula>
    </cfRule>
    <cfRule type="containsText" dxfId="453" priority="510" operator="containsText" text="Well below">
      <formula>NOT(ISERROR(SEARCH("Well below",BD66)))</formula>
    </cfRule>
    <cfRule type="containsText" dxfId="452" priority="511" operator="containsText" text="Below">
      <formula>NOT(ISERROR(SEARCH("Below",BD66)))</formula>
    </cfRule>
  </conditionalFormatting>
  <conditionalFormatting sqref="BD60">
    <cfRule type="containsText" dxfId="451" priority="505" operator="containsText" text="Low">
      <formula>NOT(ISERROR(SEARCH("Low",BD60)))</formula>
    </cfRule>
    <cfRule type="containsText" dxfId="450" priority="506" operator="containsText" text="Medium">
      <formula>NOT(ISERROR(SEARCH("Medium",BD60)))</formula>
    </cfRule>
    <cfRule type="containsText" dxfId="449" priority="507" operator="containsText" text="High">
      <formula>NOT(ISERROR(SEARCH("High",BD60)))</formula>
    </cfRule>
  </conditionalFormatting>
  <conditionalFormatting sqref="BD67">
    <cfRule type="expression" dxfId="448" priority="491">
      <formula>BD14="Nursery"</formula>
    </cfRule>
    <cfRule type="expression" dxfId="447" priority="492">
      <formula>OR(BD14="Secondary with sixth form",BD14="Secondary without sixth form")</formula>
    </cfRule>
    <cfRule type="containsText" dxfId="446" priority="501" operator="containsText" text="Well above">
      <formula>NOT(ISERROR(SEARCH("Well above",BD67)))</formula>
    </cfRule>
    <cfRule type="containsText" dxfId="445" priority="502" operator="containsText" text="Above">
      <formula>NOT(ISERROR(SEARCH("Above",BD67)))</formula>
    </cfRule>
    <cfRule type="containsText" dxfId="444" priority="503" operator="containsText" text="Well below">
      <formula>NOT(ISERROR(SEARCH("Well below",BD67)))</formula>
    </cfRule>
    <cfRule type="containsText" dxfId="443" priority="504" operator="containsText" text="Below">
      <formula>NOT(ISERROR(SEARCH("Below",BD67)))</formula>
    </cfRule>
  </conditionalFormatting>
  <conditionalFormatting sqref="BD68">
    <cfRule type="expression" dxfId="442" priority="478">
      <formula>OR(BD14="Secondary with sixth form",BD14="Secondary without sixth form",BD14="Nursery")</formula>
    </cfRule>
    <cfRule type="containsText" dxfId="441" priority="497" operator="containsText" text="Well above">
      <formula>NOT(ISERROR(SEARCH("Well above",BD68)))</formula>
    </cfRule>
    <cfRule type="containsText" dxfId="440" priority="498" operator="containsText" text="Above">
      <formula>NOT(ISERROR(SEARCH("Above",BD68)))</formula>
    </cfRule>
    <cfRule type="containsText" dxfId="439" priority="499" operator="containsText" text="Well below">
      <formula>NOT(ISERROR(SEARCH("Well below",BD68)))</formula>
    </cfRule>
    <cfRule type="containsText" dxfId="438" priority="500" operator="containsText" text="Below">
      <formula>NOT(ISERROR(SEARCH("Below",BD68)))</formula>
    </cfRule>
  </conditionalFormatting>
  <conditionalFormatting sqref="BB59">
    <cfRule type="expression" dxfId="437" priority="496">
      <formula>OR(BD14="Nursery",BD14="Alternative provision",BD14="Special")</formula>
    </cfRule>
  </conditionalFormatting>
  <conditionalFormatting sqref="BD69">
    <cfRule type="expression" dxfId="436" priority="485">
      <formula>OR(BD14="Secondary with sixth form",BD14="Secondary without sixth form",BD14="Nursery")</formula>
    </cfRule>
    <cfRule type="containsText" dxfId="435" priority="486" operator="containsText" text="Well above">
      <formula>NOT(ISERROR(SEARCH("Well above",BD69)))</formula>
    </cfRule>
    <cfRule type="containsText" dxfId="434" priority="487" operator="containsText" text="Above">
      <formula>NOT(ISERROR(SEARCH("Above",BD69)))</formula>
    </cfRule>
    <cfRule type="containsText" dxfId="433" priority="488" operator="containsText" text="Well below">
      <formula>NOT(ISERROR(SEARCH("Well below",BD69)))</formula>
    </cfRule>
    <cfRule type="containsText" dxfId="432" priority="489" operator="containsText" text="Below">
      <formula>NOT(ISERROR(SEARCH("Below",BD69)))</formula>
    </cfRule>
  </conditionalFormatting>
  <conditionalFormatting sqref="BD61">
    <cfRule type="expression" dxfId="431" priority="483">
      <formula>OR(BD14="Nursery",BD14="Alternative provision",BD14="Special")</formula>
    </cfRule>
  </conditionalFormatting>
  <conditionalFormatting sqref="BH38:BH45 BH55:BH58 BH61">
    <cfRule type="containsText" dxfId="430" priority="473" operator="containsText" text="Middle 20%">
      <formula>NOT(ISERROR(SEARCH("Middle 20%",BH38)))</formula>
    </cfRule>
    <cfRule type="containsText" dxfId="429" priority="474" operator="containsText" text="Broadly">
      <formula>NOT(ISERROR(SEARCH("Broadly",BH38)))</formula>
    </cfRule>
    <cfRule type="containsText" dxfId="428" priority="475" operator="containsText" text="20%">
      <formula>NOT(ISERROR(SEARCH("20%",BH38)))</formula>
    </cfRule>
    <cfRule type="containsText" dxfId="427" priority="476" operator="containsText" text="10%">
      <formula>NOT(ISERROR(SEARCH("10%",BH38)))</formula>
    </cfRule>
  </conditionalFormatting>
  <conditionalFormatting sqref="BH59">
    <cfRule type="expression" dxfId="426" priority="435">
      <formula>OR(BH14="Nursery",BH14="Alternative provision",BH14="Special")</formula>
    </cfRule>
    <cfRule type="containsText" dxfId="425" priority="467" operator="containsText" text="Broadly">
      <formula>NOT(ISERROR(SEARCH("Broadly",BH59)))</formula>
    </cfRule>
    <cfRule type="containsText" dxfId="424" priority="468" operator="containsText" text="Much">
      <formula>NOT(ISERROR(SEARCH("Much",BH59)))</formula>
    </cfRule>
    <cfRule type="containsText" dxfId="423" priority="469" operator="containsText" text="Than">
      <formula>NOT(ISERROR(SEARCH("Than",BH59)))</formula>
    </cfRule>
  </conditionalFormatting>
  <conditionalFormatting sqref="BH50:BH51">
    <cfRule type="containsText" dxfId="422" priority="470" operator="containsText" text="Low">
      <formula>NOT(ISERROR(SEARCH("Low",BH50)))</formula>
    </cfRule>
    <cfRule type="containsText" dxfId="421" priority="471" operator="containsText" text="Medium">
      <formula>NOT(ISERROR(SEARCH("Medium",BH50)))</formula>
    </cfRule>
    <cfRule type="containsText" dxfId="420" priority="472" operator="containsText" text="High">
      <formula>NOT(ISERROR(SEARCH("High",BH50)))</formula>
    </cfRule>
  </conditionalFormatting>
  <conditionalFormatting sqref="BH65">
    <cfRule type="containsText" dxfId="419" priority="463" operator="containsText" text="Outstanding">
      <formula>NOT(ISERROR(SEARCH("Outstanding",BH65)))</formula>
    </cfRule>
    <cfRule type="containsText" dxfId="418" priority="464" operator="containsText" text="Good">
      <formula>NOT(ISERROR(SEARCH("Good",BH65)))</formula>
    </cfRule>
    <cfRule type="containsText" dxfId="417" priority="465" operator="containsText" text="Requires Improvement">
      <formula>NOT(ISERROR(SEARCH("Requires Improvement",BH65)))</formula>
    </cfRule>
    <cfRule type="containsText" dxfId="416" priority="466" operator="containsText" text="Inadequate">
      <formula>NOT(ISERROR(SEARCH("Inadequate",BH65)))</formula>
    </cfRule>
  </conditionalFormatting>
  <conditionalFormatting sqref="BH66">
    <cfRule type="expression" dxfId="415" priority="432">
      <formula>BH14="Nursery"</formula>
    </cfRule>
    <cfRule type="expression" dxfId="414" priority="433">
      <formula>BH14="Primary"</formula>
    </cfRule>
    <cfRule type="containsText" dxfId="413" priority="459" operator="containsText" text="Well above">
      <formula>NOT(ISERROR(SEARCH("Well above",BH66)))</formula>
    </cfRule>
    <cfRule type="containsText" dxfId="412" priority="460" operator="containsText" text="Above">
      <formula>NOT(ISERROR(SEARCH("Above",BH66)))</formula>
    </cfRule>
    <cfRule type="containsText" dxfId="411" priority="461" operator="containsText" text="Well below">
      <formula>NOT(ISERROR(SEARCH("Well below",BH66)))</formula>
    </cfRule>
    <cfRule type="containsText" dxfId="410" priority="462" operator="containsText" text="Below">
      <formula>NOT(ISERROR(SEARCH("Below",BH66)))</formula>
    </cfRule>
  </conditionalFormatting>
  <conditionalFormatting sqref="BH60">
    <cfRule type="containsText" dxfId="409" priority="456" operator="containsText" text="Low">
      <formula>NOT(ISERROR(SEARCH("Low",BH60)))</formula>
    </cfRule>
    <cfRule type="containsText" dxfId="408" priority="457" operator="containsText" text="Medium">
      <formula>NOT(ISERROR(SEARCH("Medium",BH60)))</formula>
    </cfRule>
    <cfRule type="containsText" dxfId="407" priority="458" operator="containsText" text="High">
      <formula>NOT(ISERROR(SEARCH("High",BH60)))</formula>
    </cfRule>
  </conditionalFormatting>
  <conditionalFormatting sqref="BH67">
    <cfRule type="expression" dxfId="406" priority="442">
      <formula>BH14="Nursery"</formula>
    </cfRule>
    <cfRule type="expression" dxfId="405" priority="443">
      <formula>OR(BH14="Secondary with sixth form",BH14="Secondary without sixth form")</formula>
    </cfRule>
    <cfRule type="containsText" dxfId="404" priority="452" operator="containsText" text="Well above">
      <formula>NOT(ISERROR(SEARCH("Well above",BH67)))</formula>
    </cfRule>
    <cfRule type="containsText" dxfId="403" priority="453" operator="containsText" text="Above">
      <formula>NOT(ISERROR(SEARCH("Above",BH67)))</formula>
    </cfRule>
    <cfRule type="containsText" dxfId="402" priority="454" operator="containsText" text="Well below">
      <formula>NOT(ISERROR(SEARCH("Well below",BH67)))</formula>
    </cfRule>
    <cfRule type="containsText" dxfId="401" priority="455" operator="containsText" text="Below">
      <formula>NOT(ISERROR(SEARCH("Below",BH67)))</formula>
    </cfRule>
  </conditionalFormatting>
  <conditionalFormatting sqref="BH68">
    <cfRule type="expression" dxfId="400" priority="429">
      <formula>OR(BH14="Secondary with sixth form",BH14="Secondary without sixth form",BH14="Nursery")</formula>
    </cfRule>
    <cfRule type="containsText" dxfId="399" priority="448" operator="containsText" text="Well above">
      <formula>NOT(ISERROR(SEARCH("Well above",BH68)))</formula>
    </cfRule>
    <cfRule type="containsText" dxfId="398" priority="449" operator="containsText" text="Above">
      <formula>NOT(ISERROR(SEARCH("Above",BH68)))</formula>
    </cfRule>
    <cfRule type="containsText" dxfId="397" priority="450" operator="containsText" text="Well below">
      <formula>NOT(ISERROR(SEARCH("Well below",BH68)))</formula>
    </cfRule>
    <cfRule type="containsText" dxfId="396" priority="451" operator="containsText" text="Below">
      <formula>NOT(ISERROR(SEARCH("Below",BH68)))</formula>
    </cfRule>
  </conditionalFormatting>
  <conditionalFormatting sqref="BF59">
    <cfRule type="expression" dxfId="395" priority="447">
      <formula>OR(BH14="Nursery",BH14="Alternative provision",BH14="Special")</formula>
    </cfRule>
  </conditionalFormatting>
  <conditionalFormatting sqref="BH69">
    <cfRule type="expression" dxfId="394" priority="436">
      <formula>OR(BH14="Secondary with sixth form",BH14="Secondary without sixth form",BH14="Nursery")</formula>
    </cfRule>
    <cfRule type="containsText" dxfId="393" priority="437" operator="containsText" text="Well above">
      <formula>NOT(ISERROR(SEARCH("Well above",BH69)))</formula>
    </cfRule>
    <cfRule type="containsText" dxfId="392" priority="438" operator="containsText" text="Above">
      <formula>NOT(ISERROR(SEARCH("Above",BH69)))</formula>
    </cfRule>
    <cfRule type="containsText" dxfId="391" priority="439" operator="containsText" text="Well below">
      <formula>NOT(ISERROR(SEARCH("Well below",BH69)))</formula>
    </cfRule>
    <cfRule type="containsText" dxfId="390" priority="440" operator="containsText" text="Below">
      <formula>NOT(ISERROR(SEARCH("Below",BH69)))</formula>
    </cfRule>
  </conditionalFormatting>
  <conditionalFormatting sqref="BH61">
    <cfRule type="expression" dxfId="389" priority="434">
      <formula>OR(BH14="Nursery",BH14="Alternative provision",BH14="Special")</formula>
    </cfRule>
  </conditionalFormatting>
  <conditionalFormatting sqref="BL38:BL45 BL55:BL58 BL61">
    <cfRule type="containsText" dxfId="388" priority="424" operator="containsText" text="Middle 20%">
      <formula>NOT(ISERROR(SEARCH("Middle 20%",BL38)))</formula>
    </cfRule>
    <cfRule type="containsText" dxfId="387" priority="425" operator="containsText" text="Broadly">
      <formula>NOT(ISERROR(SEARCH("Broadly",BL38)))</formula>
    </cfRule>
    <cfRule type="containsText" dxfId="386" priority="426" operator="containsText" text="20%">
      <formula>NOT(ISERROR(SEARCH("20%",BL38)))</formula>
    </cfRule>
    <cfRule type="containsText" dxfId="385" priority="427" operator="containsText" text="10%">
      <formula>NOT(ISERROR(SEARCH("10%",BL38)))</formula>
    </cfRule>
  </conditionalFormatting>
  <conditionalFormatting sqref="BL59">
    <cfRule type="expression" dxfId="384" priority="386">
      <formula>OR(BL14="Nursery",BL14="Alternative provision",BL14="Special")</formula>
    </cfRule>
    <cfRule type="containsText" dxfId="383" priority="418" operator="containsText" text="Broadly">
      <formula>NOT(ISERROR(SEARCH("Broadly",BL59)))</formula>
    </cfRule>
    <cfRule type="containsText" dxfId="382" priority="419" operator="containsText" text="Much">
      <formula>NOT(ISERROR(SEARCH("Much",BL59)))</formula>
    </cfRule>
    <cfRule type="containsText" dxfId="381" priority="420" operator="containsText" text="Than">
      <formula>NOT(ISERROR(SEARCH("Than",BL59)))</formula>
    </cfRule>
  </conditionalFormatting>
  <conditionalFormatting sqref="BL50:BL51">
    <cfRule type="containsText" dxfId="380" priority="421" operator="containsText" text="Low">
      <formula>NOT(ISERROR(SEARCH("Low",BL50)))</formula>
    </cfRule>
    <cfRule type="containsText" dxfId="379" priority="422" operator="containsText" text="Medium">
      <formula>NOT(ISERROR(SEARCH("Medium",BL50)))</formula>
    </cfRule>
    <cfRule type="containsText" dxfId="378" priority="423" operator="containsText" text="High">
      <formula>NOT(ISERROR(SEARCH("High",BL50)))</formula>
    </cfRule>
  </conditionalFormatting>
  <conditionalFormatting sqref="BL65">
    <cfRule type="containsText" dxfId="377" priority="414" operator="containsText" text="Outstanding">
      <formula>NOT(ISERROR(SEARCH("Outstanding",BL65)))</formula>
    </cfRule>
    <cfRule type="containsText" dxfId="376" priority="415" operator="containsText" text="Good">
      <formula>NOT(ISERROR(SEARCH("Good",BL65)))</formula>
    </cfRule>
    <cfRule type="containsText" dxfId="375" priority="416" operator="containsText" text="Requires Improvement">
      <formula>NOT(ISERROR(SEARCH("Requires Improvement",BL65)))</formula>
    </cfRule>
    <cfRule type="containsText" dxfId="374" priority="417" operator="containsText" text="Inadequate">
      <formula>NOT(ISERROR(SEARCH("Inadequate",BL65)))</formula>
    </cfRule>
  </conditionalFormatting>
  <conditionalFormatting sqref="BL66">
    <cfRule type="expression" dxfId="373" priority="383">
      <formula>BL14="Nursery"</formula>
    </cfRule>
    <cfRule type="expression" dxfId="372" priority="384">
      <formula>BL14="Primary"</formula>
    </cfRule>
    <cfRule type="containsText" dxfId="371" priority="410" operator="containsText" text="Well above">
      <formula>NOT(ISERROR(SEARCH("Well above",BL66)))</formula>
    </cfRule>
    <cfRule type="containsText" dxfId="370" priority="411" operator="containsText" text="Above">
      <formula>NOT(ISERROR(SEARCH("Above",BL66)))</formula>
    </cfRule>
    <cfRule type="containsText" dxfId="369" priority="412" operator="containsText" text="Well below">
      <formula>NOT(ISERROR(SEARCH("Well below",BL66)))</formula>
    </cfRule>
    <cfRule type="containsText" dxfId="368" priority="413" operator="containsText" text="Below">
      <formula>NOT(ISERROR(SEARCH("Below",BL66)))</formula>
    </cfRule>
  </conditionalFormatting>
  <conditionalFormatting sqref="BL60">
    <cfRule type="containsText" dxfId="367" priority="407" operator="containsText" text="Low">
      <formula>NOT(ISERROR(SEARCH("Low",BL60)))</formula>
    </cfRule>
    <cfRule type="containsText" dxfId="366" priority="408" operator="containsText" text="Medium">
      <formula>NOT(ISERROR(SEARCH("Medium",BL60)))</formula>
    </cfRule>
    <cfRule type="containsText" dxfId="365" priority="409" operator="containsText" text="High">
      <formula>NOT(ISERROR(SEARCH("High",BL60)))</formula>
    </cfRule>
  </conditionalFormatting>
  <conditionalFormatting sqref="BL67">
    <cfRule type="expression" dxfId="364" priority="393">
      <formula>BL14="Nursery"</formula>
    </cfRule>
    <cfRule type="expression" dxfId="363" priority="394">
      <formula>OR(BL14="Secondary with sixth form",BL14="Secondary without sixth form")</formula>
    </cfRule>
    <cfRule type="containsText" dxfId="362" priority="403" operator="containsText" text="Well above">
      <formula>NOT(ISERROR(SEARCH("Well above",BL67)))</formula>
    </cfRule>
    <cfRule type="containsText" dxfId="361" priority="404" operator="containsText" text="Above">
      <formula>NOT(ISERROR(SEARCH("Above",BL67)))</formula>
    </cfRule>
    <cfRule type="containsText" dxfId="360" priority="405" operator="containsText" text="Well below">
      <formula>NOT(ISERROR(SEARCH("Well below",BL67)))</formula>
    </cfRule>
    <cfRule type="containsText" dxfId="359" priority="406" operator="containsText" text="Below">
      <formula>NOT(ISERROR(SEARCH("Below",BL67)))</formula>
    </cfRule>
  </conditionalFormatting>
  <conditionalFormatting sqref="BL68">
    <cfRule type="expression" dxfId="358" priority="380">
      <formula>OR(BL14="Secondary with sixth form",BL14="Secondary without sixth form",BL14="Nursery")</formula>
    </cfRule>
    <cfRule type="containsText" dxfId="357" priority="399" operator="containsText" text="Well above">
      <formula>NOT(ISERROR(SEARCH("Well above",BL68)))</formula>
    </cfRule>
    <cfRule type="containsText" dxfId="356" priority="400" operator="containsText" text="Above">
      <formula>NOT(ISERROR(SEARCH("Above",BL68)))</formula>
    </cfRule>
    <cfRule type="containsText" dxfId="355" priority="401" operator="containsText" text="Well below">
      <formula>NOT(ISERROR(SEARCH("Well below",BL68)))</formula>
    </cfRule>
    <cfRule type="containsText" dxfId="354" priority="402" operator="containsText" text="Below">
      <formula>NOT(ISERROR(SEARCH("Below",BL68)))</formula>
    </cfRule>
  </conditionalFormatting>
  <conditionalFormatting sqref="BJ59">
    <cfRule type="expression" dxfId="353" priority="398">
      <formula>OR(BL14="Nursery",BL14="Alternative provision",BL14="Special")</formula>
    </cfRule>
  </conditionalFormatting>
  <conditionalFormatting sqref="BL69">
    <cfRule type="expression" dxfId="352" priority="387">
      <formula>OR(BL14="Secondary with sixth form",BL14="Secondary without sixth form",BL14="Nursery")</formula>
    </cfRule>
    <cfRule type="containsText" dxfId="351" priority="388" operator="containsText" text="Well above">
      <formula>NOT(ISERROR(SEARCH("Well above",BL69)))</formula>
    </cfRule>
    <cfRule type="containsText" dxfId="350" priority="389" operator="containsText" text="Above">
      <formula>NOT(ISERROR(SEARCH("Above",BL69)))</formula>
    </cfRule>
    <cfRule type="containsText" dxfId="349" priority="390" operator="containsText" text="Well below">
      <formula>NOT(ISERROR(SEARCH("Well below",BL69)))</formula>
    </cfRule>
    <cfRule type="containsText" dxfId="348" priority="391" operator="containsText" text="Below">
      <formula>NOT(ISERROR(SEARCH("Below",BL69)))</formula>
    </cfRule>
  </conditionalFormatting>
  <conditionalFormatting sqref="BL61">
    <cfRule type="expression" dxfId="347" priority="385">
      <formula>OR(BL14="Nursery",BL14="Alternative provision",BL14="Special")</formula>
    </cfRule>
  </conditionalFormatting>
  <conditionalFormatting sqref="BP38:BP45 BP55:BP58 BP61">
    <cfRule type="containsText" dxfId="346" priority="375" operator="containsText" text="Middle 20%">
      <formula>NOT(ISERROR(SEARCH("Middle 20%",BP38)))</formula>
    </cfRule>
    <cfRule type="containsText" dxfId="345" priority="376" operator="containsText" text="Broadly">
      <formula>NOT(ISERROR(SEARCH("Broadly",BP38)))</formula>
    </cfRule>
    <cfRule type="containsText" dxfId="344" priority="377" operator="containsText" text="20%">
      <formula>NOT(ISERROR(SEARCH("20%",BP38)))</formula>
    </cfRule>
    <cfRule type="containsText" dxfId="343" priority="378" operator="containsText" text="10%">
      <formula>NOT(ISERROR(SEARCH("10%",BP38)))</formula>
    </cfRule>
  </conditionalFormatting>
  <conditionalFormatting sqref="BP59">
    <cfRule type="expression" dxfId="342" priority="337">
      <formula>OR(BP14="Nursery",BP14="Alternative provision",BP14="Special")</formula>
    </cfRule>
    <cfRule type="containsText" dxfId="341" priority="369" operator="containsText" text="Broadly">
      <formula>NOT(ISERROR(SEARCH("Broadly",BP59)))</formula>
    </cfRule>
    <cfRule type="containsText" dxfId="340" priority="370" operator="containsText" text="Much">
      <formula>NOT(ISERROR(SEARCH("Much",BP59)))</formula>
    </cfRule>
    <cfRule type="containsText" dxfId="339" priority="371" operator="containsText" text="Than">
      <formula>NOT(ISERROR(SEARCH("Than",BP59)))</formula>
    </cfRule>
  </conditionalFormatting>
  <conditionalFormatting sqref="BP50:BP51">
    <cfRule type="containsText" dxfId="338" priority="372" operator="containsText" text="Low">
      <formula>NOT(ISERROR(SEARCH("Low",BP50)))</formula>
    </cfRule>
    <cfRule type="containsText" dxfId="337" priority="373" operator="containsText" text="Medium">
      <formula>NOT(ISERROR(SEARCH("Medium",BP50)))</formula>
    </cfRule>
    <cfRule type="containsText" dxfId="336" priority="374" operator="containsText" text="High">
      <formula>NOT(ISERROR(SEARCH("High",BP50)))</formula>
    </cfRule>
  </conditionalFormatting>
  <conditionalFormatting sqref="BP65">
    <cfRule type="containsText" dxfId="335" priority="365" operator="containsText" text="Outstanding">
      <formula>NOT(ISERROR(SEARCH("Outstanding",BP65)))</formula>
    </cfRule>
    <cfRule type="containsText" dxfId="334" priority="366" operator="containsText" text="Good">
      <formula>NOT(ISERROR(SEARCH("Good",BP65)))</formula>
    </cfRule>
    <cfRule type="containsText" dxfId="333" priority="367" operator="containsText" text="Requires Improvement">
      <formula>NOT(ISERROR(SEARCH("Requires Improvement",BP65)))</formula>
    </cfRule>
    <cfRule type="containsText" dxfId="332" priority="368" operator="containsText" text="Inadequate">
      <formula>NOT(ISERROR(SEARCH("Inadequate",BP65)))</formula>
    </cfRule>
  </conditionalFormatting>
  <conditionalFormatting sqref="BP66">
    <cfRule type="expression" dxfId="331" priority="334">
      <formula>BP14="Nursery"</formula>
    </cfRule>
    <cfRule type="expression" dxfId="330" priority="335">
      <formula>BP14="Primary"</formula>
    </cfRule>
    <cfRule type="containsText" dxfId="329" priority="361" operator="containsText" text="Well above">
      <formula>NOT(ISERROR(SEARCH("Well above",BP66)))</formula>
    </cfRule>
    <cfRule type="containsText" dxfId="328" priority="362" operator="containsText" text="Above">
      <formula>NOT(ISERROR(SEARCH("Above",BP66)))</formula>
    </cfRule>
    <cfRule type="containsText" dxfId="327" priority="363" operator="containsText" text="Well below">
      <formula>NOT(ISERROR(SEARCH("Well below",BP66)))</formula>
    </cfRule>
    <cfRule type="containsText" dxfId="326" priority="364" operator="containsText" text="Below">
      <formula>NOT(ISERROR(SEARCH("Below",BP66)))</formula>
    </cfRule>
  </conditionalFormatting>
  <conditionalFormatting sqref="BP60">
    <cfRule type="containsText" dxfId="325" priority="358" operator="containsText" text="Low">
      <formula>NOT(ISERROR(SEARCH("Low",BP60)))</formula>
    </cfRule>
    <cfRule type="containsText" dxfId="324" priority="359" operator="containsText" text="Medium">
      <formula>NOT(ISERROR(SEARCH("Medium",BP60)))</formula>
    </cfRule>
    <cfRule type="containsText" dxfId="323" priority="360" operator="containsText" text="High">
      <formula>NOT(ISERROR(SEARCH("High",BP60)))</formula>
    </cfRule>
  </conditionalFormatting>
  <conditionalFormatting sqref="BP67">
    <cfRule type="expression" dxfId="322" priority="344">
      <formula>BP14="Nursery"</formula>
    </cfRule>
    <cfRule type="expression" dxfId="321" priority="345">
      <formula>OR(BP14="Secondary with sixth form",BP14="Secondary without sixth form")</formula>
    </cfRule>
    <cfRule type="containsText" dxfId="320" priority="354" operator="containsText" text="Well above">
      <formula>NOT(ISERROR(SEARCH("Well above",BP67)))</formula>
    </cfRule>
    <cfRule type="containsText" dxfId="319" priority="355" operator="containsText" text="Above">
      <formula>NOT(ISERROR(SEARCH("Above",BP67)))</formula>
    </cfRule>
    <cfRule type="containsText" dxfId="318" priority="356" operator="containsText" text="Well below">
      <formula>NOT(ISERROR(SEARCH("Well below",BP67)))</formula>
    </cfRule>
    <cfRule type="containsText" dxfId="317" priority="357" operator="containsText" text="Below">
      <formula>NOT(ISERROR(SEARCH("Below",BP67)))</formula>
    </cfRule>
  </conditionalFormatting>
  <conditionalFormatting sqref="BP68">
    <cfRule type="expression" dxfId="316" priority="331">
      <formula>OR(BP14="Secondary with sixth form",BP14="Secondary without sixth form",BP14="Nursery")</formula>
    </cfRule>
    <cfRule type="containsText" dxfId="315" priority="350" operator="containsText" text="Well above">
      <formula>NOT(ISERROR(SEARCH("Well above",BP68)))</formula>
    </cfRule>
    <cfRule type="containsText" dxfId="314" priority="351" operator="containsText" text="Above">
      <formula>NOT(ISERROR(SEARCH("Above",BP68)))</formula>
    </cfRule>
    <cfRule type="containsText" dxfId="313" priority="352" operator="containsText" text="Well below">
      <formula>NOT(ISERROR(SEARCH("Well below",BP68)))</formula>
    </cfRule>
    <cfRule type="containsText" dxfId="312" priority="353" operator="containsText" text="Below">
      <formula>NOT(ISERROR(SEARCH("Below",BP68)))</formula>
    </cfRule>
  </conditionalFormatting>
  <conditionalFormatting sqref="BN59">
    <cfRule type="expression" dxfId="311" priority="349">
      <formula>OR(BP14="Nursery",BP14="Alternative provision",BP14="Special")</formula>
    </cfRule>
  </conditionalFormatting>
  <conditionalFormatting sqref="BP69">
    <cfRule type="expression" dxfId="310" priority="338">
      <formula>OR(BP14="Secondary with sixth form",BP14="Secondary without sixth form",BP14="Nursery")</formula>
    </cfRule>
    <cfRule type="containsText" dxfId="309" priority="339" operator="containsText" text="Well above">
      <formula>NOT(ISERROR(SEARCH("Well above",BP69)))</formula>
    </cfRule>
    <cfRule type="containsText" dxfId="308" priority="340" operator="containsText" text="Above">
      <formula>NOT(ISERROR(SEARCH("Above",BP69)))</formula>
    </cfRule>
    <cfRule type="containsText" dxfId="307" priority="341" operator="containsText" text="Well below">
      <formula>NOT(ISERROR(SEARCH("Well below",BP69)))</formula>
    </cfRule>
    <cfRule type="containsText" dxfId="306" priority="342" operator="containsText" text="Below">
      <formula>NOT(ISERROR(SEARCH("Below",BP69)))</formula>
    </cfRule>
  </conditionalFormatting>
  <conditionalFormatting sqref="BP61">
    <cfRule type="expression" dxfId="305" priority="336">
      <formula>OR(BP14="Nursery",BP14="Alternative provision",BP14="Special")</formula>
    </cfRule>
  </conditionalFormatting>
  <conditionalFormatting sqref="BT38:BT45 BT55:BT58 BT61">
    <cfRule type="containsText" dxfId="304" priority="326" operator="containsText" text="Middle 20%">
      <formula>NOT(ISERROR(SEARCH("Middle 20%",BT38)))</formula>
    </cfRule>
    <cfRule type="containsText" dxfId="303" priority="327" operator="containsText" text="Broadly">
      <formula>NOT(ISERROR(SEARCH("Broadly",BT38)))</formula>
    </cfRule>
    <cfRule type="containsText" dxfId="302" priority="328" operator="containsText" text="20%">
      <formula>NOT(ISERROR(SEARCH("20%",BT38)))</formula>
    </cfRule>
    <cfRule type="containsText" dxfId="301" priority="329" operator="containsText" text="10%">
      <formula>NOT(ISERROR(SEARCH("10%",BT38)))</formula>
    </cfRule>
  </conditionalFormatting>
  <conditionalFormatting sqref="BT59">
    <cfRule type="expression" dxfId="300" priority="288">
      <formula>OR(BT14="Nursery",BT14="Alternative provision",BT14="Special")</formula>
    </cfRule>
    <cfRule type="containsText" dxfId="299" priority="320" operator="containsText" text="Broadly">
      <formula>NOT(ISERROR(SEARCH("Broadly",BT59)))</formula>
    </cfRule>
    <cfRule type="containsText" dxfId="298" priority="321" operator="containsText" text="Much">
      <formula>NOT(ISERROR(SEARCH("Much",BT59)))</formula>
    </cfRule>
    <cfRule type="containsText" dxfId="297" priority="322" operator="containsText" text="Than">
      <formula>NOT(ISERROR(SEARCH("Than",BT59)))</formula>
    </cfRule>
  </conditionalFormatting>
  <conditionalFormatting sqref="BT50:BT51">
    <cfRule type="containsText" dxfId="296" priority="323" operator="containsText" text="Low">
      <formula>NOT(ISERROR(SEARCH("Low",BT50)))</formula>
    </cfRule>
    <cfRule type="containsText" dxfId="295" priority="324" operator="containsText" text="Medium">
      <formula>NOT(ISERROR(SEARCH("Medium",BT50)))</formula>
    </cfRule>
    <cfRule type="containsText" dxfId="294" priority="325" operator="containsText" text="High">
      <formula>NOT(ISERROR(SEARCH("High",BT50)))</formula>
    </cfRule>
  </conditionalFormatting>
  <conditionalFormatting sqref="BT65">
    <cfRule type="containsText" dxfId="293" priority="316" operator="containsText" text="Outstanding">
      <formula>NOT(ISERROR(SEARCH("Outstanding",BT65)))</formula>
    </cfRule>
    <cfRule type="containsText" dxfId="292" priority="317" operator="containsText" text="Good">
      <formula>NOT(ISERROR(SEARCH("Good",BT65)))</formula>
    </cfRule>
    <cfRule type="containsText" dxfId="291" priority="318" operator="containsText" text="Requires Improvement">
      <formula>NOT(ISERROR(SEARCH("Requires Improvement",BT65)))</formula>
    </cfRule>
    <cfRule type="containsText" dxfId="290" priority="319" operator="containsText" text="Inadequate">
      <formula>NOT(ISERROR(SEARCH("Inadequate",BT65)))</formula>
    </cfRule>
  </conditionalFormatting>
  <conditionalFormatting sqref="BT66">
    <cfRule type="expression" dxfId="289" priority="285">
      <formula>BT14="Nursery"</formula>
    </cfRule>
    <cfRule type="expression" dxfId="288" priority="286">
      <formula>BT14="Primary"</formula>
    </cfRule>
    <cfRule type="containsText" dxfId="287" priority="312" operator="containsText" text="Well above">
      <formula>NOT(ISERROR(SEARCH("Well above",BT66)))</formula>
    </cfRule>
    <cfRule type="containsText" dxfId="286" priority="313" operator="containsText" text="Above">
      <formula>NOT(ISERROR(SEARCH("Above",BT66)))</formula>
    </cfRule>
    <cfRule type="containsText" dxfId="285" priority="314" operator="containsText" text="Well below">
      <formula>NOT(ISERROR(SEARCH("Well below",BT66)))</formula>
    </cfRule>
    <cfRule type="containsText" dxfId="284" priority="315" operator="containsText" text="Below">
      <formula>NOT(ISERROR(SEARCH("Below",BT66)))</formula>
    </cfRule>
  </conditionalFormatting>
  <conditionalFormatting sqref="BT60">
    <cfRule type="containsText" dxfId="283" priority="309" operator="containsText" text="Low">
      <formula>NOT(ISERROR(SEARCH("Low",BT60)))</formula>
    </cfRule>
    <cfRule type="containsText" dxfId="282" priority="310" operator="containsText" text="Medium">
      <formula>NOT(ISERROR(SEARCH("Medium",BT60)))</formula>
    </cfRule>
    <cfRule type="containsText" dxfId="281" priority="311" operator="containsText" text="High">
      <formula>NOT(ISERROR(SEARCH("High",BT60)))</formula>
    </cfRule>
  </conditionalFormatting>
  <conditionalFormatting sqref="BT67">
    <cfRule type="expression" dxfId="280" priority="295">
      <formula>BT14="Nursery"</formula>
    </cfRule>
    <cfRule type="expression" dxfId="279" priority="296">
      <formula>OR(BT14="Secondary with sixth form",BT14="Secondary without sixth form")</formula>
    </cfRule>
    <cfRule type="containsText" dxfId="278" priority="305" operator="containsText" text="Well above">
      <formula>NOT(ISERROR(SEARCH("Well above",BT67)))</formula>
    </cfRule>
    <cfRule type="containsText" dxfId="277" priority="306" operator="containsText" text="Above">
      <formula>NOT(ISERROR(SEARCH("Above",BT67)))</formula>
    </cfRule>
    <cfRule type="containsText" dxfId="276" priority="307" operator="containsText" text="Well below">
      <formula>NOT(ISERROR(SEARCH("Well below",BT67)))</formula>
    </cfRule>
    <cfRule type="containsText" dxfId="275" priority="308" operator="containsText" text="Below">
      <formula>NOT(ISERROR(SEARCH("Below",BT67)))</formula>
    </cfRule>
  </conditionalFormatting>
  <conditionalFormatting sqref="BT68">
    <cfRule type="expression" dxfId="274" priority="282">
      <formula>OR(BT14="Secondary with sixth form",BT14="Secondary without sixth form",BT14="Nursery")</formula>
    </cfRule>
    <cfRule type="containsText" dxfId="273" priority="301" operator="containsText" text="Well above">
      <formula>NOT(ISERROR(SEARCH("Well above",BT68)))</formula>
    </cfRule>
    <cfRule type="containsText" dxfId="272" priority="302" operator="containsText" text="Above">
      <formula>NOT(ISERROR(SEARCH("Above",BT68)))</formula>
    </cfRule>
    <cfRule type="containsText" dxfId="271" priority="303" operator="containsText" text="Well below">
      <formula>NOT(ISERROR(SEARCH("Well below",BT68)))</formula>
    </cfRule>
    <cfRule type="containsText" dxfId="270" priority="304" operator="containsText" text="Below">
      <formula>NOT(ISERROR(SEARCH("Below",BT68)))</formula>
    </cfRule>
  </conditionalFormatting>
  <conditionalFormatting sqref="BR59">
    <cfRule type="expression" dxfId="269" priority="300">
      <formula>OR(BT14="Nursery",BT14="Alternative provision",BT14="Special")</formula>
    </cfRule>
  </conditionalFormatting>
  <conditionalFormatting sqref="BT69">
    <cfRule type="expression" dxfId="268" priority="289">
      <formula>OR(BT14="Secondary with sixth form",BT14="Secondary without sixth form",BT14="Nursery")</formula>
    </cfRule>
    <cfRule type="containsText" dxfId="267" priority="290" operator="containsText" text="Well above">
      <formula>NOT(ISERROR(SEARCH("Well above",BT69)))</formula>
    </cfRule>
    <cfRule type="containsText" dxfId="266" priority="291" operator="containsText" text="Above">
      <formula>NOT(ISERROR(SEARCH("Above",BT69)))</formula>
    </cfRule>
    <cfRule type="containsText" dxfId="265" priority="292" operator="containsText" text="Well below">
      <formula>NOT(ISERROR(SEARCH("Well below",BT69)))</formula>
    </cfRule>
    <cfRule type="containsText" dxfId="264" priority="293" operator="containsText" text="Below">
      <formula>NOT(ISERROR(SEARCH("Below",BT69)))</formula>
    </cfRule>
  </conditionalFormatting>
  <conditionalFormatting sqref="BT61">
    <cfRule type="expression" dxfId="263" priority="287">
      <formula>OR(BT14="Nursery",BT14="Alternative provision",BT14="Special")</formula>
    </cfRule>
  </conditionalFormatting>
  <conditionalFormatting sqref="BX38:BX45 BX55:BX58 BX61">
    <cfRule type="containsText" dxfId="262" priority="277" operator="containsText" text="Middle 20%">
      <formula>NOT(ISERROR(SEARCH("Middle 20%",BX38)))</formula>
    </cfRule>
    <cfRule type="containsText" dxfId="261" priority="278" operator="containsText" text="Broadly">
      <formula>NOT(ISERROR(SEARCH("Broadly",BX38)))</formula>
    </cfRule>
    <cfRule type="containsText" dxfId="260" priority="279" operator="containsText" text="20%">
      <formula>NOT(ISERROR(SEARCH("20%",BX38)))</formula>
    </cfRule>
    <cfRule type="containsText" dxfId="259" priority="280" operator="containsText" text="10%">
      <formula>NOT(ISERROR(SEARCH("10%",BX38)))</formula>
    </cfRule>
  </conditionalFormatting>
  <conditionalFormatting sqref="BX59">
    <cfRule type="expression" dxfId="258" priority="239">
      <formula>OR(BX14="Nursery",BX14="Alternative provision",BX14="Special")</formula>
    </cfRule>
    <cfRule type="containsText" dxfId="257" priority="271" operator="containsText" text="Broadly">
      <formula>NOT(ISERROR(SEARCH("Broadly",BX59)))</formula>
    </cfRule>
    <cfRule type="containsText" dxfId="256" priority="272" operator="containsText" text="Much">
      <formula>NOT(ISERROR(SEARCH("Much",BX59)))</formula>
    </cfRule>
    <cfRule type="containsText" dxfId="255" priority="273" operator="containsText" text="Than">
      <formula>NOT(ISERROR(SEARCH("Than",BX59)))</formula>
    </cfRule>
  </conditionalFormatting>
  <conditionalFormatting sqref="BX50:BX51">
    <cfRule type="containsText" dxfId="254" priority="274" operator="containsText" text="Low">
      <formula>NOT(ISERROR(SEARCH("Low",BX50)))</formula>
    </cfRule>
    <cfRule type="containsText" dxfId="253" priority="275" operator="containsText" text="Medium">
      <formula>NOT(ISERROR(SEARCH("Medium",BX50)))</formula>
    </cfRule>
    <cfRule type="containsText" dxfId="252" priority="276" operator="containsText" text="High">
      <formula>NOT(ISERROR(SEARCH("High",BX50)))</formula>
    </cfRule>
  </conditionalFormatting>
  <conditionalFormatting sqref="BX65">
    <cfRule type="containsText" dxfId="251" priority="267" operator="containsText" text="Outstanding">
      <formula>NOT(ISERROR(SEARCH("Outstanding",BX65)))</formula>
    </cfRule>
    <cfRule type="containsText" dxfId="250" priority="268" operator="containsText" text="Good">
      <formula>NOT(ISERROR(SEARCH("Good",BX65)))</formula>
    </cfRule>
    <cfRule type="containsText" dxfId="249" priority="269" operator="containsText" text="Requires Improvement">
      <formula>NOT(ISERROR(SEARCH("Requires Improvement",BX65)))</formula>
    </cfRule>
    <cfRule type="containsText" dxfId="248" priority="270" operator="containsText" text="Inadequate">
      <formula>NOT(ISERROR(SEARCH("Inadequate",BX65)))</formula>
    </cfRule>
  </conditionalFormatting>
  <conditionalFormatting sqref="BX66">
    <cfRule type="expression" dxfId="247" priority="236">
      <formula>BX14="Nursery"</formula>
    </cfRule>
    <cfRule type="expression" dxfId="246" priority="237">
      <formula>BX14="Primary"</formula>
    </cfRule>
    <cfRule type="containsText" dxfId="245" priority="263" operator="containsText" text="Well above">
      <formula>NOT(ISERROR(SEARCH("Well above",BX66)))</formula>
    </cfRule>
    <cfRule type="containsText" dxfId="244" priority="264" operator="containsText" text="Above">
      <formula>NOT(ISERROR(SEARCH("Above",BX66)))</formula>
    </cfRule>
    <cfRule type="containsText" dxfId="243" priority="265" operator="containsText" text="Well below">
      <formula>NOT(ISERROR(SEARCH("Well below",BX66)))</formula>
    </cfRule>
    <cfRule type="containsText" dxfId="242" priority="266" operator="containsText" text="Below">
      <formula>NOT(ISERROR(SEARCH("Below",BX66)))</formula>
    </cfRule>
  </conditionalFormatting>
  <conditionalFormatting sqref="BX60">
    <cfRule type="containsText" dxfId="241" priority="260" operator="containsText" text="Low">
      <formula>NOT(ISERROR(SEARCH("Low",BX60)))</formula>
    </cfRule>
    <cfRule type="containsText" dxfId="240" priority="261" operator="containsText" text="Medium">
      <formula>NOT(ISERROR(SEARCH("Medium",BX60)))</formula>
    </cfRule>
    <cfRule type="containsText" dxfId="239" priority="262" operator="containsText" text="High">
      <formula>NOT(ISERROR(SEARCH("High",BX60)))</formula>
    </cfRule>
  </conditionalFormatting>
  <conditionalFormatting sqref="BX67">
    <cfRule type="expression" dxfId="238" priority="246">
      <formula>BX14="Nursery"</formula>
    </cfRule>
    <cfRule type="expression" dxfId="237" priority="247">
      <formula>OR(BX14="Secondary with sixth form",BX14="Secondary without sixth form")</formula>
    </cfRule>
    <cfRule type="containsText" dxfId="236" priority="256" operator="containsText" text="Well above">
      <formula>NOT(ISERROR(SEARCH("Well above",BX67)))</formula>
    </cfRule>
    <cfRule type="containsText" dxfId="235" priority="257" operator="containsText" text="Above">
      <formula>NOT(ISERROR(SEARCH("Above",BX67)))</formula>
    </cfRule>
    <cfRule type="containsText" dxfId="234" priority="258" operator="containsText" text="Well below">
      <formula>NOT(ISERROR(SEARCH("Well below",BX67)))</formula>
    </cfRule>
    <cfRule type="containsText" dxfId="233" priority="259" operator="containsText" text="Below">
      <formula>NOT(ISERROR(SEARCH("Below",BX67)))</formula>
    </cfRule>
  </conditionalFormatting>
  <conditionalFormatting sqref="BX68">
    <cfRule type="expression" dxfId="232" priority="233">
      <formula>OR(BX14="Secondary with sixth form",BX14="Secondary without sixth form",BX14="Nursery")</formula>
    </cfRule>
    <cfRule type="containsText" dxfId="231" priority="252" operator="containsText" text="Well above">
      <formula>NOT(ISERROR(SEARCH("Well above",BX68)))</formula>
    </cfRule>
    <cfRule type="containsText" dxfId="230" priority="253" operator="containsText" text="Above">
      <formula>NOT(ISERROR(SEARCH("Above",BX68)))</formula>
    </cfRule>
    <cfRule type="containsText" dxfId="229" priority="254" operator="containsText" text="Well below">
      <formula>NOT(ISERROR(SEARCH("Well below",BX68)))</formula>
    </cfRule>
    <cfRule type="containsText" dxfId="228" priority="255" operator="containsText" text="Below">
      <formula>NOT(ISERROR(SEARCH("Below",BX68)))</formula>
    </cfRule>
  </conditionalFormatting>
  <conditionalFormatting sqref="BV59">
    <cfRule type="expression" dxfId="227" priority="251">
      <formula>OR(BX14="Nursery",BX14="Alternative provision",BX14="Special")</formula>
    </cfRule>
  </conditionalFormatting>
  <conditionalFormatting sqref="BX69">
    <cfRule type="expression" dxfId="226" priority="240">
      <formula>OR(BX14="Secondary with sixth form",BX14="Secondary without sixth form",BX14="Nursery")</formula>
    </cfRule>
    <cfRule type="containsText" dxfId="225" priority="241" operator="containsText" text="Well above">
      <formula>NOT(ISERROR(SEARCH("Well above",BX69)))</formula>
    </cfRule>
    <cfRule type="containsText" dxfId="224" priority="242" operator="containsText" text="Above">
      <formula>NOT(ISERROR(SEARCH("Above",BX69)))</formula>
    </cfRule>
    <cfRule type="containsText" dxfId="223" priority="243" operator="containsText" text="Well below">
      <formula>NOT(ISERROR(SEARCH("Well below",BX69)))</formula>
    </cfRule>
    <cfRule type="containsText" dxfId="222" priority="244" operator="containsText" text="Below">
      <formula>NOT(ISERROR(SEARCH("Below",BX69)))</formula>
    </cfRule>
  </conditionalFormatting>
  <conditionalFormatting sqref="BX61">
    <cfRule type="expression" dxfId="221" priority="238">
      <formula>OR(BX14="Nursery",BX14="Alternative provision",BX14="Special")</formula>
    </cfRule>
  </conditionalFormatting>
  <conditionalFormatting sqref="CB38:CB45 CB55:CB58 CB61">
    <cfRule type="containsText" dxfId="220" priority="228" operator="containsText" text="Middle 20%">
      <formula>NOT(ISERROR(SEARCH("Middle 20%",CB38)))</formula>
    </cfRule>
    <cfRule type="containsText" dxfId="219" priority="229" operator="containsText" text="Broadly">
      <formula>NOT(ISERROR(SEARCH("Broadly",CB38)))</formula>
    </cfRule>
    <cfRule type="containsText" dxfId="218" priority="230" operator="containsText" text="20%">
      <formula>NOT(ISERROR(SEARCH("20%",CB38)))</formula>
    </cfRule>
    <cfRule type="containsText" dxfId="217" priority="231" operator="containsText" text="10%">
      <formula>NOT(ISERROR(SEARCH("10%",CB38)))</formula>
    </cfRule>
  </conditionalFormatting>
  <conditionalFormatting sqref="CB59">
    <cfRule type="expression" dxfId="216" priority="190">
      <formula>OR(CB14="Nursery",CB14="Alternative provision",CB14="Special")</formula>
    </cfRule>
    <cfRule type="containsText" dxfId="215" priority="222" operator="containsText" text="Broadly">
      <formula>NOT(ISERROR(SEARCH("Broadly",CB59)))</formula>
    </cfRule>
    <cfRule type="containsText" dxfId="214" priority="223" operator="containsText" text="Much">
      <formula>NOT(ISERROR(SEARCH("Much",CB59)))</formula>
    </cfRule>
    <cfRule type="containsText" dxfId="213" priority="224" operator="containsText" text="Than">
      <formula>NOT(ISERROR(SEARCH("Than",CB59)))</formula>
    </cfRule>
  </conditionalFormatting>
  <conditionalFormatting sqref="CB50:CB51">
    <cfRule type="containsText" dxfId="212" priority="225" operator="containsText" text="Low">
      <formula>NOT(ISERROR(SEARCH("Low",CB50)))</formula>
    </cfRule>
    <cfRule type="containsText" dxfId="211" priority="226" operator="containsText" text="Medium">
      <formula>NOT(ISERROR(SEARCH("Medium",CB50)))</formula>
    </cfRule>
    <cfRule type="containsText" dxfId="210" priority="227" operator="containsText" text="High">
      <formula>NOT(ISERROR(SEARCH("High",CB50)))</formula>
    </cfRule>
  </conditionalFormatting>
  <conditionalFormatting sqref="CB65">
    <cfRule type="containsText" dxfId="209" priority="218" operator="containsText" text="Outstanding">
      <formula>NOT(ISERROR(SEARCH("Outstanding",CB65)))</formula>
    </cfRule>
    <cfRule type="containsText" dxfId="208" priority="219" operator="containsText" text="Good">
      <formula>NOT(ISERROR(SEARCH("Good",CB65)))</formula>
    </cfRule>
    <cfRule type="containsText" dxfId="207" priority="220" operator="containsText" text="Requires Improvement">
      <formula>NOT(ISERROR(SEARCH("Requires Improvement",CB65)))</formula>
    </cfRule>
    <cfRule type="containsText" dxfId="206" priority="221" operator="containsText" text="Inadequate">
      <formula>NOT(ISERROR(SEARCH("Inadequate",CB65)))</formula>
    </cfRule>
  </conditionalFormatting>
  <conditionalFormatting sqref="CB66">
    <cfRule type="expression" dxfId="205" priority="187">
      <formula>CB14="Nursery"</formula>
    </cfRule>
    <cfRule type="expression" dxfId="204" priority="188">
      <formula>CB14="Primary"</formula>
    </cfRule>
    <cfRule type="containsText" dxfId="203" priority="214" operator="containsText" text="Well above">
      <formula>NOT(ISERROR(SEARCH("Well above",CB66)))</formula>
    </cfRule>
    <cfRule type="containsText" dxfId="202" priority="215" operator="containsText" text="Above">
      <formula>NOT(ISERROR(SEARCH("Above",CB66)))</formula>
    </cfRule>
    <cfRule type="containsText" dxfId="201" priority="216" operator="containsText" text="Well below">
      <formula>NOT(ISERROR(SEARCH("Well below",CB66)))</formula>
    </cfRule>
    <cfRule type="containsText" dxfId="200" priority="217" operator="containsText" text="Below">
      <formula>NOT(ISERROR(SEARCH("Below",CB66)))</formula>
    </cfRule>
  </conditionalFormatting>
  <conditionalFormatting sqref="CB60">
    <cfRule type="containsText" dxfId="199" priority="211" operator="containsText" text="Low">
      <formula>NOT(ISERROR(SEARCH("Low",CB60)))</formula>
    </cfRule>
    <cfRule type="containsText" dxfId="198" priority="212" operator="containsText" text="Medium">
      <formula>NOT(ISERROR(SEARCH("Medium",CB60)))</formula>
    </cfRule>
    <cfRule type="containsText" dxfId="197" priority="213" operator="containsText" text="High">
      <formula>NOT(ISERROR(SEARCH("High",CB60)))</formula>
    </cfRule>
  </conditionalFormatting>
  <conditionalFormatting sqref="CB67">
    <cfRule type="expression" dxfId="196" priority="197">
      <formula>CB14="Nursery"</formula>
    </cfRule>
    <cfRule type="expression" dxfId="195" priority="198">
      <formula>OR(CB14="Secondary with sixth form",CB14="Secondary without sixth form")</formula>
    </cfRule>
    <cfRule type="containsText" dxfId="194" priority="207" operator="containsText" text="Well above">
      <formula>NOT(ISERROR(SEARCH("Well above",CB67)))</formula>
    </cfRule>
    <cfRule type="containsText" dxfId="193" priority="208" operator="containsText" text="Above">
      <formula>NOT(ISERROR(SEARCH("Above",CB67)))</formula>
    </cfRule>
    <cfRule type="containsText" dxfId="192" priority="209" operator="containsText" text="Well below">
      <formula>NOT(ISERROR(SEARCH("Well below",CB67)))</formula>
    </cfRule>
    <cfRule type="containsText" dxfId="191" priority="210" operator="containsText" text="Below">
      <formula>NOT(ISERROR(SEARCH("Below",CB67)))</formula>
    </cfRule>
  </conditionalFormatting>
  <conditionalFormatting sqref="CB68">
    <cfRule type="expression" dxfId="190" priority="184">
      <formula>OR(CB14="Secondary with sixth form",CB14="Secondary without sixth form",CB14="Nursery")</formula>
    </cfRule>
    <cfRule type="containsText" dxfId="189" priority="203" operator="containsText" text="Well above">
      <formula>NOT(ISERROR(SEARCH("Well above",CB68)))</formula>
    </cfRule>
    <cfRule type="containsText" dxfId="188" priority="204" operator="containsText" text="Above">
      <formula>NOT(ISERROR(SEARCH("Above",CB68)))</formula>
    </cfRule>
    <cfRule type="containsText" dxfId="187" priority="205" operator="containsText" text="Well below">
      <formula>NOT(ISERROR(SEARCH("Well below",CB68)))</formula>
    </cfRule>
    <cfRule type="containsText" dxfId="186" priority="206" operator="containsText" text="Below">
      <formula>NOT(ISERROR(SEARCH("Below",CB68)))</formula>
    </cfRule>
  </conditionalFormatting>
  <conditionalFormatting sqref="BZ59">
    <cfRule type="expression" dxfId="185" priority="202">
      <formula>OR(CB14="Nursery",CB14="Alternative provision",CB14="Special")</formula>
    </cfRule>
  </conditionalFormatting>
  <conditionalFormatting sqref="CB69">
    <cfRule type="expression" dxfId="184" priority="191">
      <formula>OR(CB14="Secondary with sixth form",CB14="Secondary without sixth form",CB14="Nursery")</formula>
    </cfRule>
    <cfRule type="containsText" dxfId="183" priority="192" operator="containsText" text="Well above">
      <formula>NOT(ISERROR(SEARCH("Well above",CB69)))</formula>
    </cfRule>
    <cfRule type="containsText" dxfId="182" priority="193" operator="containsText" text="Above">
      <formula>NOT(ISERROR(SEARCH("Above",CB69)))</formula>
    </cfRule>
    <cfRule type="containsText" dxfId="181" priority="194" operator="containsText" text="Well below">
      <formula>NOT(ISERROR(SEARCH("Well below",CB69)))</formula>
    </cfRule>
    <cfRule type="containsText" dxfId="180" priority="195" operator="containsText" text="Below">
      <formula>NOT(ISERROR(SEARCH("Below",CB69)))</formula>
    </cfRule>
  </conditionalFormatting>
  <conditionalFormatting sqref="CB61">
    <cfRule type="expression" dxfId="179" priority="189">
      <formula>OR(CB14="Nursery",CB14="Alternative provision",CB14="Special")</formula>
    </cfRule>
  </conditionalFormatting>
  <conditionalFormatting sqref="CF38:CF45 CF55:CF58 CF61">
    <cfRule type="containsText" dxfId="178" priority="179" operator="containsText" text="Middle 20%">
      <formula>NOT(ISERROR(SEARCH("Middle 20%",CF38)))</formula>
    </cfRule>
    <cfRule type="containsText" dxfId="177" priority="180" operator="containsText" text="Broadly">
      <formula>NOT(ISERROR(SEARCH("Broadly",CF38)))</formula>
    </cfRule>
    <cfRule type="containsText" dxfId="176" priority="181" operator="containsText" text="20%">
      <formula>NOT(ISERROR(SEARCH("20%",CF38)))</formula>
    </cfRule>
    <cfRule type="containsText" dxfId="175" priority="182" operator="containsText" text="10%">
      <formula>NOT(ISERROR(SEARCH("10%",CF38)))</formula>
    </cfRule>
  </conditionalFormatting>
  <conditionalFormatting sqref="CF59">
    <cfRule type="expression" dxfId="174" priority="141">
      <formula>OR(CF14="Nursery",CF14="Alternative provision",CF14="Special")</formula>
    </cfRule>
    <cfRule type="containsText" dxfId="173" priority="173" operator="containsText" text="Broadly">
      <formula>NOT(ISERROR(SEARCH("Broadly",CF59)))</formula>
    </cfRule>
    <cfRule type="containsText" dxfId="172" priority="174" operator="containsText" text="Much">
      <formula>NOT(ISERROR(SEARCH("Much",CF59)))</formula>
    </cfRule>
    <cfRule type="containsText" dxfId="171" priority="175" operator="containsText" text="Than">
      <formula>NOT(ISERROR(SEARCH("Than",CF59)))</formula>
    </cfRule>
  </conditionalFormatting>
  <conditionalFormatting sqref="CF50:CF51">
    <cfRule type="containsText" dxfId="170" priority="176" operator="containsText" text="Low">
      <formula>NOT(ISERROR(SEARCH("Low",CF50)))</formula>
    </cfRule>
    <cfRule type="containsText" dxfId="169" priority="177" operator="containsText" text="Medium">
      <formula>NOT(ISERROR(SEARCH("Medium",CF50)))</formula>
    </cfRule>
    <cfRule type="containsText" dxfId="168" priority="178" operator="containsText" text="High">
      <formula>NOT(ISERROR(SEARCH("High",CF50)))</formula>
    </cfRule>
  </conditionalFormatting>
  <conditionalFormatting sqref="CF65">
    <cfRule type="containsText" dxfId="167" priority="169" operator="containsText" text="Outstanding">
      <formula>NOT(ISERROR(SEARCH("Outstanding",CF65)))</formula>
    </cfRule>
    <cfRule type="containsText" dxfId="166" priority="170" operator="containsText" text="Good">
      <formula>NOT(ISERROR(SEARCH("Good",CF65)))</formula>
    </cfRule>
    <cfRule type="containsText" dxfId="165" priority="171" operator="containsText" text="Requires Improvement">
      <formula>NOT(ISERROR(SEARCH("Requires Improvement",CF65)))</formula>
    </cfRule>
    <cfRule type="containsText" dxfId="164" priority="172" operator="containsText" text="Inadequate">
      <formula>NOT(ISERROR(SEARCH("Inadequate",CF65)))</formula>
    </cfRule>
  </conditionalFormatting>
  <conditionalFormatting sqref="CF66">
    <cfRule type="expression" dxfId="163" priority="138">
      <formula>CF14="Nursery"</formula>
    </cfRule>
    <cfRule type="expression" dxfId="162" priority="139">
      <formula>CF14="Primary"</formula>
    </cfRule>
    <cfRule type="containsText" dxfId="161" priority="165" operator="containsText" text="Well above">
      <formula>NOT(ISERROR(SEARCH("Well above",CF66)))</formula>
    </cfRule>
    <cfRule type="containsText" dxfId="160" priority="166" operator="containsText" text="Above">
      <formula>NOT(ISERROR(SEARCH("Above",CF66)))</formula>
    </cfRule>
    <cfRule type="containsText" dxfId="159" priority="167" operator="containsText" text="Well below">
      <formula>NOT(ISERROR(SEARCH("Well below",CF66)))</formula>
    </cfRule>
    <cfRule type="containsText" dxfId="158" priority="168" operator="containsText" text="Below">
      <formula>NOT(ISERROR(SEARCH("Below",CF66)))</formula>
    </cfRule>
  </conditionalFormatting>
  <conditionalFormatting sqref="CF60">
    <cfRule type="containsText" dxfId="157" priority="162" operator="containsText" text="Low">
      <formula>NOT(ISERROR(SEARCH("Low",CF60)))</formula>
    </cfRule>
    <cfRule type="containsText" dxfId="156" priority="163" operator="containsText" text="Medium">
      <formula>NOT(ISERROR(SEARCH("Medium",CF60)))</formula>
    </cfRule>
    <cfRule type="containsText" dxfId="155" priority="164" operator="containsText" text="High">
      <formula>NOT(ISERROR(SEARCH("High",CF60)))</formula>
    </cfRule>
  </conditionalFormatting>
  <conditionalFormatting sqref="CF67">
    <cfRule type="expression" dxfId="154" priority="148">
      <formula>CF14="Nursery"</formula>
    </cfRule>
    <cfRule type="expression" dxfId="153" priority="149">
      <formula>OR(CF14="Secondary with sixth form",CF14="Secondary without sixth form")</formula>
    </cfRule>
    <cfRule type="containsText" dxfId="152" priority="158" operator="containsText" text="Well above">
      <formula>NOT(ISERROR(SEARCH("Well above",CF67)))</formula>
    </cfRule>
    <cfRule type="containsText" dxfId="151" priority="159" operator="containsText" text="Above">
      <formula>NOT(ISERROR(SEARCH("Above",CF67)))</formula>
    </cfRule>
    <cfRule type="containsText" dxfId="150" priority="160" operator="containsText" text="Well below">
      <formula>NOT(ISERROR(SEARCH("Well below",CF67)))</formula>
    </cfRule>
    <cfRule type="containsText" dxfId="149" priority="161" operator="containsText" text="Below">
      <formula>NOT(ISERROR(SEARCH("Below",CF67)))</formula>
    </cfRule>
  </conditionalFormatting>
  <conditionalFormatting sqref="CF68">
    <cfRule type="expression" dxfId="148" priority="135">
      <formula>OR(CF14="Secondary with sixth form",CF14="Secondary without sixth form",CF14="Nursery")</formula>
    </cfRule>
    <cfRule type="containsText" dxfId="147" priority="154" operator="containsText" text="Well above">
      <formula>NOT(ISERROR(SEARCH("Well above",CF68)))</formula>
    </cfRule>
    <cfRule type="containsText" dxfId="146" priority="155" operator="containsText" text="Above">
      <formula>NOT(ISERROR(SEARCH("Above",CF68)))</formula>
    </cfRule>
    <cfRule type="containsText" dxfId="145" priority="156" operator="containsText" text="Well below">
      <formula>NOT(ISERROR(SEARCH("Well below",CF68)))</formula>
    </cfRule>
    <cfRule type="containsText" dxfId="144" priority="157" operator="containsText" text="Below">
      <formula>NOT(ISERROR(SEARCH("Below",CF68)))</formula>
    </cfRule>
  </conditionalFormatting>
  <conditionalFormatting sqref="CD59">
    <cfRule type="expression" dxfId="143" priority="153">
      <formula>OR(CF14="Nursery",CF14="Alternative provision",CF14="Special")</formula>
    </cfRule>
  </conditionalFormatting>
  <conditionalFormatting sqref="CF69">
    <cfRule type="expression" dxfId="142" priority="142">
      <formula>OR(CF14="Secondary with sixth form",CF14="Secondary without sixth form",CF14="Nursery")</formula>
    </cfRule>
    <cfRule type="containsText" dxfId="141" priority="143" operator="containsText" text="Well above">
      <formula>NOT(ISERROR(SEARCH("Well above",CF69)))</formula>
    </cfRule>
    <cfRule type="containsText" dxfId="140" priority="144" operator="containsText" text="Above">
      <formula>NOT(ISERROR(SEARCH("Above",CF69)))</formula>
    </cfRule>
    <cfRule type="containsText" dxfId="139" priority="145" operator="containsText" text="Well below">
      <formula>NOT(ISERROR(SEARCH("Well below",CF69)))</formula>
    </cfRule>
    <cfRule type="containsText" dxfId="138" priority="146" operator="containsText" text="Below">
      <formula>NOT(ISERROR(SEARCH("Below",CF69)))</formula>
    </cfRule>
  </conditionalFormatting>
  <conditionalFormatting sqref="CF61">
    <cfRule type="expression" dxfId="137" priority="140">
      <formula>OR(CF14="Nursery",CF14="Alternative provision",CF14="Special")</formula>
    </cfRule>
  </conditionalFormatting>
  <conditionalFormatting sqref="J61">
    <cfRule type="expression" dxfId="136" priority="133">
      <formula>OR(L14="Nursery",L14="Alternative provision",L14="Special")</formula>
    </cfRule>
  </conditionalFormatting>
  <conditionalFormatting sqref="J68">
    <cfRule type="expression" dxfId="135" priority="130">
      <formula>OR(L14="Secondary with sixth form",L14="Secondary without sixth form",L14="Nursery")</formula>
    </cfRule>
  </conditionalFormatting>
  <conditionalFormatting sqref="J66">
    <cfRule type="expression" dxfId="134" priority="131">
      <formula>L14="Nursery"</formula>
    </cfRule>
    <cfRule type="expression" dxfId="133" priority="132">
      <formula>L14="Primary"</formula>
    </cfRule>
  </conditionalFormatting>
  <conditionalFormatting sqref="J67">
    <cfRule type="expression" dxfId="132" priority="128">
      <formula>OR(L14="Secondary with sixth form",L14="Secondary without sixth form")</formula>
    </cfRule>
    <cfRule type="expression" dxfId="131" priority="129">
      <formula>L14="Nursery"</formula>
    </cfRule>
  </conditionalFormatting>
  <conditionalFormatting sqref="J69">
    <cfRule type="expression" dxfId="130" priority="127">
      <formula>OR(L14="Secondary with sixth form",L14="Secondary without sixth form",L14="Nursery")</formula>
    </cfRule>
  </conditionalFormatting>
  <conditionalFormatting sqref="N61">
    <cfRule type="expression" dxfId="129" priority="126">
      <formula>OR(P14="Nursery",P14="Alternative provision",P14="Special")</formula>
    </cfRule>
  </conditionalFormatting>
  <conditionalFormatting sqref="N68">
    <cfRule type="expression" dxfId="128" priority="123">
      <formula>OR(P14="Secondary with sixth form",P14="Secondary without sixth form",P14="Nursery")</formula>
    </cfRule>
  </conditionalFormatting>
  <conditionalFormatting sqref="N66">
    <cfRule type="expression" dxfId="127" priority="124">
      <formula>P14="Nursery"</formula>
    </cfRule>
    <cfRule type="expression" dxfId="126" priority="125">
      <formula>P14="Primary"</formula>
    </cfRule>
  </conditionalFormatting>
  <conditionalFormatting sqref="N67">
    <cfRule type="expression" dxfId="125" priority="121">
      <formula>OR(P14="Secondary with sixth form",P14="Secondary without sixth form")</formula>
    </cfRule>
    <cfRule type="expression" dxfId="124" priority="122">
      <formula>P14="Nursery"</formula>
    </cfRule>
  </conditionalFormatting>
  <conditionalFormatting sqref="N69">
    <cfRule type="expression" dxfId="123" priority="120">
      <formula>OR(P14="Secondary with sixth form",P14="Secondary without sixth form",P14="Nursery")</formula>
    </cfRule>
  </conditionalFormatting>
  <conditionalFormatting sqref="R61">
    <cfRule type="expression" dxfId="122" priority="119">
      <formula>OR(T14="Nursery",T14="Alternative provision",T14="Special")</formula>
    </cfRule>
  </conditionalFormatting>
  <conditionalFormatting sqref="R68">
    <cfRule type="expression" dxfId="121" priority="116">
      <formula>OR(T14="Secondary with sixth form",T14="Secondary without sixth form",T14="Nursery")</formula>
    </cfRule>
  </conditionalFormatting>
  <conditionalFormatting sqref="R66">
    <cfRule type="expression" dxfId="120" priority="117">
      <formula>T14="Nursery"</formula>
    </cfRule>
    <cfRule type="expression" dxfId="119" priority="118">
      <formula>T14="Primary"</formula>
    </cfRule>
  </conditionalFormatting>
  <conditionalFormatting sqref="R67">
    <cfRule type="expression" dxfId="118" priority="114">
      <formula>OR(T14="Secondary with sixth form",T14="Secondary without sixth form")</formula>
    </cfRule>
    <cfRule type="expression" dxfId="117" priority="115">
      <formula>T14="Nursery"</formula>
    </cfRule>
  </conditionalFormatting>
  <conditionalFormatting sqref="R69">
    <cfRule type="expression" dxfId="116" priority="113">
      <formula>OR(T14="Secondary with sixth form",T14="Secondary without sixth form",T14="Nursery")</formula>
    </cfRule>
  </conditionalFormatting>
  <conditionalFormatting sqref="V61">
    <cfRule type="expression" dxfId="115" priority="112">
      <formula>OR(X14="Nursery",X14="Alternative provision",X14="Special")</formula>
    </cfRule>
  </conditionalFormatting>
  <conditionalFormatting sqref="V68">
    <cfRule type="expression" dxfId="114" priority="109">
      <formula>OR(X14="Secondary with sixth form",X14="Secondary without sixth form",X14="Nursery")</formula>
    </cfRule>
  </conditionalFormatting>
  <conditionalFormatting sqref="V66">
    <cfRule type="expression" dxfId="113" priority="110">
      <formula>X14="Nursery"</formula>
    </cfRule>
    <cfRule type="expression" dxfId="112" priority="111">
      <formula>X14="Primary"</formula>
    </cfRule>
  </conditionalFormatting>
  <conditionalFormatting sqref="V67">
    <cfRule type="expression" dxfId="111" priority="107">
      <formula>OR(X14="Secondary with sixth form",X14="Secondary without sixth form")</formula>
    </cfRule>
    <cfRule type="expression" dxfId="110" priority="108">
      <formula>X14="Nursery"</formula>
    </cfRule>
  </conditionalFormatting>
  <conditionalFormatting sqref="V69">
    <cfRule type="expression" dxfId="109" priority="106">
      <formula>OR(X14="Secondary with sixth form",X14="Secondary without sixth form",X14="Nursery")</formula>
    </cfRule>
  </conditionalFormatting>
  <conditionalFormatting sqref="Z61">
    <cfRule type="expression" dxfId="108" priority="105">
      <formula>OR(AB14="Nursery",AB14="Alternative provision",AB14="Special")</formula>
    </cfRule>
  </conditionalFormatting>
  <conditionalFormatting sqref="Z68">
    <cfRule type="expression" dxfId="107" priority="102">
      <formula>OR(AB14="Secondary with sixth form",AB14="Secondary without sixth form",AB14="Nursery")</formula>
    </cfRule>
  </conditionalFormatting>
  <conditionalFormatting sqref="Z66">
    <cfRule type="expression" dxfId="106" priority="103">
      <formula>AB14="Nursery"</formula>
    </cfRule>
    <cfRule type="expression" dxfId="105" priority="104">
      <formula>AB14="Primary"</formula>
    </cfRule>
  </conditionalFormatting>
  <conditionalFormatting sqref="Z67">
    <cfRule type="expression" dxfId="104" priority="100">
      <formula>OR(AB14="Secondary with sixth form",AB14="Secondary without sixth form")</formula>
    </cfRule>
    <cfRule type="expression" dxfId="103" priority="101">
      <formula>AB14="Nursery"</formula>
    </cfRule>
  </conditionalFormatting>
  <conditionalFormatting sqref="Z69">
    <cfRule type="expression" dxfId="102" priority="99">
      <formula>OR(AB14="Secondary with sixth form",AB14="Secondary without sixth form",AB14="Nursery")</formula>
    </cfRule>
  </conditionalFormatting>
  <conditionalFormatting sqref="AD61">
    <cfRule type="expression" dxfId="101" priority="98">
      <formula>OR(AF14="Nursery",AF14="Alternative provision",AF14="Special")</formula>
    </cfRule>
  </conditionalFormatting>
  <conditionalFormatting sqref="AD68">
    <cfRule type="expression" dxfId="100" priority="95">
      <formula>OR(AF14="Secondary with sixth form",AF14="Secondary without sixth form",AF14="Nursery")</formula>
    </cfRule>
  </conditionalFormatting>
  <conditionalFormatting sqref="AD66">
    <cfRule type="expression" dxfId="99" priority="96">
      <formula>AF14="Nursery"</formula>
    </cfRule>
    <cfRule type="expression" dxfId="98" priority="97">
      <formula>AF14="Primary"</formula>
    </cfRule>
  </conditionalFormatting>
  <conditionalFormatting sqref="AD67">
    <cfRule type="expression" dxfId="97" priority="93">
      <formula>OR(AF14="Secondary with sixth form",AF14="Secondary without sixth form")</formula>
    </cfRule>
    <cfRule type="expression" dxfId="96" priority="94">
      <formula>AF14="Nursery"</formula>
    </cfRule>
  </conditionalFormatting>
  <conditionalFormatting sqref="AD69">
    <cfRule type="expression" dxfId="95" priority="92">
      <formula>OR(AF14="Secondary with sixth form",AF14="Secondary without sixth form",AF14="Nursery")</formula>
    </cfRule>
  </conditionalFormatting>
  <conditionalFormatting sqref="AH61">
    <cfRule type="expression" dxfId="94" priority="91">
      <formula>OR(AJ14="Nursery",AJ14="Alternative provision",AJ14="Special")</formula>
    </cfRule>
  </conditionalFormatting>
  <conditionalFormatting sqref="AH68">
    <cfRule type="expression" dxfId="93" priority="88">
      <formula>OR(AJ14="Secondary with sixth form",AJ14="Secondary without sixth form",AJ14="Nursery")</formula>
    </cfRule>
  </conditionalFormatting>
  <conditionalFormatting sqref="AH66">
    <cfRule type="expression" dxfId="92" priority="89">
      <formula>AJ14="Nursery"</formula>
    </cfRule>
    <cfRule type="expression" dxfId="91" priority="90">
      <formula>AJ14="Primary"</formula>
    </cfRule>
  </conditionalFormatting>
  <conditionalFormatting sqref="AH67">
    <cfRule type="expression" dxfId="90" priority="86">
      <formula>OR(AJ14="Secondary with sixth form",AJ14="Secondary without sixth form")</formula>
    </cfRule>
    <cfRule type="expression" dxfId="89" priority="87">
      <formula>AJ14="Nursery"</formula>
    </cfRule>
  </conditionalFormatting>
  <conditionalFormatting sqref="AH69">
    <cfRule type="expression" dxfId="88" priority="85">
      <formula>OR(AJ14="Secondary with sixth form",AJ14="Secondary without sixth form",AJ14="Nursery")</formula>
    </cfRule>
  </conditionalFormatting>
  <conditionalFormatting sqref="AL61">
    <cfRule type="expression" dxfId="87" priority="84">
      <formula>OR(AN14="Nursery",AN14="Alternative provision",AN14="Special")</formula>
    </cfRule>
  </conditionalFormatting>
  <conditionalFormatting sqref="AL68">
    <cfRule type="expression" dxfId="86" priority="81">
      <formula>OR(AN14="Secondary with sixth form",AN14="Secondary without sixth form",AN14="Nursery")</formula>
    </cfRule>
  </conditionalFormatting>
  <conditionalFormatting sqref="AL66">
    <cfRule type="expression" dxfId="85" priority="82">
      <formula>AN14="Nursery"</formula>
    </cfRule>
    <cfRule type="expression" dxfId="84" priority="83">
      <formula>AN14="Primary"</formula>
    </cfRule>
  </conditionalFormatting>
  <conditionalFormatting sqref="AL67">
    <cfRule type="expression" dxfId="83" priority="79">
      <formula>OR(AN14="Secondary with sixth form",AN14="Secondary without sixth form")</formula>
    </cfRule>
    <cfRule type="expression" dxfId="82" priority="80">
      <formula>AN14="Nursery"</formula>
    </cfRule>
  </conditionalFormatting>
  <conditionalFormatting sqref="AL69">
    <cfRule type="expression" dxfId="81" priority="78">
      <formula>OR(AN14="Secondary with sixth form",AN14="Secondary without sixth form",AN14="Nursery")</formula>
    </cfRule>
  </conditionalFormatting>
  <conditionalFormatting sqref="AP61">
    <cfRule type="expression" dxfId="80" priority="77">
      <formula>OR(AR14="Nursery",AR14="Alternative provision",AR14="Special")</formula>
    </cfRule>
  </conditionalFormatting>
  <conditionalFormatting sqref="AP68">
    <cfRule type="expression" dxfId="79" priority="74">
      <formula>OR(AR14="Secondary with sixth form",AR14="Secondary without sixth form",AR14="Nursery")</formula>
    </cfRule>
  </conditionalFormatting>
  <conditionalFormatting sqref="AP66">
    <cfRule type="expression" dxfId="78" priority="75">
      <formula>AR14="Nursery"</formula>
    </cfRule>
    <cfRule type="expression" dxfId="77" priority="76">
      <formula>AR14="Primary"</formula>
    </cfRule>
  </conditionalFormatting>
  <conditionalFormatting sqref="AP67">
    <cfRule type="expression" dxfId="76" priority="72">
      <formula>OR(AR14="Secondary with sixth form",AR14="Secondary without sixth form")</formula>
    </cfRule>
    <cfRule type="expression" dxfId="75" priority="73">
      <formula>AR14="Nursery"</formula>
    </cfRule>
  </conditionalFormatting>
  <conditionalFormatting sqref="AP69">
    <cfRule type="expression" dxfId="74" priority="71">
      <formula>OR(AR14="Secondary with sixth form",AR14="Secondary without sixth form",AR14="Nursery")</formula>
    </cfRule>
  </conditionalFormatting>
  <conditionalFormatting sqref="AT61">
    <cfRule type="expression" dxfId="73" priority="70">
      <formula>OR(AV14="Nursery",AV14="Alternative provision",AV14="Special")</formula>
    </cfRule>
  </conditionalFormatting>
  <conditionalFormatting sqref="AT68">
    <cfRule type="expression" dxfId="72" priority="67">
      <formula>OR(AV14="Secondary with sixth form",AV14="Secondary without sixth form",AV14="Nursery")</formula>
    </cfRule>
  </conditionalFormatting>
  <conditionalFormatting sqref="AT66">
    <cfRule type="expression" dxfId="71" priority="68">
      <formula>AV14="Nursery"</formula>
    </cfRule>
    <cfRule type="expression" dxfId="70" priority="69">
      <formula>AV14="Primary"</formula>
    </cfRule>
  </conditionalFormatting>
  <conditionalFormatting sqref="AT67">
    <cfRule type="expression" dxfId="69" priority="65">
      <formula>OR(AV14="Secondary with sixth form",AV14="Secondary without sixth form")</formula>
    </cfRule>
    <cfRule type="expression" dxfId="68" priority="66">
      <formula>AV14="Nursery"</formula>
    </cfRule>
  </conditionalFormatting>
  <conditionalFormatting sqref="AT69">
    <cfRule type="expression" dxfId="67" priority="64">
      <formula>OR(AV14="Secondary with sixth form",AV14="Secondary without sixth form",AV14="Nursery")</formula>
    </cfRule>
  </conditionalFormatting>
  <conditionalFormatting sqref="AX61">
    <cfRule type="expression" dxfId="66" priority="63">
      <formula>OR(AZ14="Nursery",AZ14="Alternative provision",AZ14="Special")</formula>
    </cfRule>
  </conditionalFormatting>
  <conditionalFormatting sqref="AX68">
    <cfRule type="expression" dxfId="65" priority="60">
      <formula>OR(AZ14="Secondary with sixth form",AZ14="Secondary without sixth form",AZ14="Nursery")</formula>
    </cfRule>
  </conditionalFormatting>
  <conditionalFormatting sqref="AX66">
    <cfRule type="expression" dxfId="64" priority="61">
      <formula>AZ14="Nursery"</formula>
    </cfRule>
    <cfRule type="expression" dxfId="63" priority="62">
      <formula>AZ14="Primary"</formula>
    </cfRule>
  </conditionalFormatting>
  <conditionalFormatting sqref="AX67">
    <cfRule type="expression" dxfId="62" priority="58">
      <formula>OR(AZ14="Secondary with sixth form",AZ14="Secondary without sixth form")</formula>
    </cfRule>
    <cfRule type="expression" dxfId="61" priority="59">
      <formula>AZ14="Nursery"</formula>
    </cfRule>
  </conditionalFormatting>
  <conditionalFormatting sqref="AX69">
    <cfRule type="expression" dxfId="60" priority="57">
      <formula>OR(AZ14="Secondary with sixth form",AZ14="Secondary without sixth form",AZ14="Nursery")</formula>
    </cfRule>
  </conditionalFormatting>
  <conditionalFormatting sqref="BB61">
    <cfRule type="expression" dxfId="59" priority="56">
      <formula>OR(BD14="Nursery",BD14="Alternative provision",BD14="Special")</formula>
    </cfRule>
  </conditionalFormatting>
  <conditionalFormatting sqref="BB68">
    <cfRule type="expression" dxfId="58" priority="53">
      <formula>OR(BD14="Secondary with sixth form",BD14="Secondary without sixth form",BD14="Nursery")</formula>
    </cfRule>
  </conditionalFormatting>
  <conditionalFormatting sqref="BB66">
    <cfRule type="expression" dxfId="57" priority="54">
      <formula>BD14="Nursery"</formula>
    </cfRule>
    <cfRule type="expression" dxfId="56" priority="55">
      <formula>BD14="Primary"</formula>
    </cfRule>
  </conditionalFormatting>
  <conditionalFormatting sqref="BB67">
    <cfRule type="expression" dxfId="55" priority="51">
      <formula>OR(BD14="Secondary with sixth form",BD14="Secondary without sixth form")</formula>
    </cfRule>
    <cfRule type="expression" dxfId="54" priority="52">
      <formula>BD14="Nursery"</formula>
    </cfRule>
  </conditionalFormatting>
  <conditionalFormatting sqref="BB69">
    <cfRule type="expression" dxfId="53" priority="50">
      <formula>OR(BD14="Secondary with sixth form",BD14="Secondary without sixth form",BD14="Nursery")</formula>
    </cfRule>
  </conditionalFormatting>
  <conditionalFormatting sqref="BF61">
    <cfRule type="expression" dxfId="52" priority="49">
      <formula>OR(BH14="Nursery",BH14="Alternative provision",BH14="Special")</formula>
    </cfRule>
  </conditionalFormatting>
  <conditionalFormatting sqref="BF68">
    <cfRule type="expression" dxfId="51" priority="46">
      <formula>OR(BH14="Secondary with sixth form",BH14="Secondary without sixth form",BH14="Nursery")</formula>
    </cfRule>
  </conditionalFormatting>
  <conditionalFormatting sqref="BF66">
    <cfRule type="expression" dxfId="50" priority="47">
      <formula>BH14="Nursery"</formula>
    </cfRule>
    <cfRule type="expression" dxfId="49" priority="48">
      <formula>BH14="Primary"</formula>
    </cfRule>
  </conditionalFormatting>
  <conditionalFormatting sqref="BF67">
    <cfRule type="expression" dxfId="48" priority="44">
      <formula>OR(BH14="Secondary with sixth form",BH14="Secondary without sixth form")</formula>
    </cfRule>
    <cfRule type="expression" dxfId="47" priority="45">
      <formula>BH14="Nursery"</formula>
    </cfRule>
  </conditionalFormatting>
  <conditionalFormatting sqref="BF69">
    <cfRule type="expression" dxfId="46" priority="43">
      <formula>OR(BH14="Secondary with sixth form",BH14="Secondary without sixth form",BH14="Nursery")</formula>
    </cfRule>
  </conditionalFormatting>
  <conditionalFormatting sqref="BJ61">
    <cfRule type="expression" dxfId="45" priority="42">
      <formula>OR(BL14="Nursery",BL14="Alternative provision",BL14="Special")</formula>
    </cfRule>
  </conditionalFormatting>
  <conditionalFormatting sqref="BJ68">
    <cfRule type="expression" dxfId="44" priority="39">
      <formula>OR(BL14="Secondary with sixth form",BL14="Secondary without sixth form",BL14="Nursery")</formula>
    </cfRule>
  </conditionalFormatting>
  <conditionalFormatting sqref="BJ66">
    <cfRule type="expression" dxfId="43" priority="40">
      <formula>BL14="Nursery"</formula>
    </cfRule>
    <cfRule type="expression" dxfId="42" priority="41">
      <formula>BL14="Primary"</formula>
    </cfRule>
  </conditionalFormatting>
  <conditionalFormatting sqref="BJ67">
    <cfRule type="expression" dxfId="41" priority="37">
      <formula>OR(BL14="Secondary with sixth form",BL14="Secondary without sixth form")</formula>
    </cfRule>
    <cfRule type="expression" dxfId="40" priority="38">
      <formula>BL14="Nursery"</formula>
    </cfRule>
  </conditionalFormatting>
  <conditionalFormatting sqref="BJ69">
    <cfRule type="expression" dxfId="39" priority="36">
      <formula>OR(BL14="Secondary with sixth form",BL14="Secondary without sixth form",BL14="Nursery")</formula>
    </cfRule>
  </conditionalFormatting>
  <conditionalFormatting sqref="BN61">
    <cfRule type="expression" dxfId="38" priority="35">
      <formula>OR(BP14="Nursery",BP14="Alternative provision",BP14="Special")</formula>
    </cfRule>
  </conditionalFormatting>
  <conditionalFormatting sqref="BN68">
    <cfRule type="expression" dxfId="37" priority="32">
      <formula>OR(BP14="Secondary with sixth form",BP14="Secondary without sixth form",BP14="Nursery")</formula>
    </cfRule>
  </conditionalFormatting>
  <conditionalFormatting sqref="BN66">
    <cfRule type="expression" dxfId="36" priority="33">
      <formula>BP14="Nursery"</formula>
    </cfRule>
    <cfRule type="expression" dxfId="35" priority="34">
      <formula>BP14="Primary"</formula>
    </cfRule>
  </conditionalFormatting>
  <conditionalFormatting sqref="BN67">
    <cfRule type="expression" dxfId="34" priority="30">
      <formula>OR(BP14="Secondary with sixth form",BP14="Secondary without sixth form")</formula>
    </cfRule>
    <cfRule type="expression" dxfId="33" priority="31">
      <formula>BP14="Nursery"</formula>
    </cfRule>
  </conditionalFormatting>
  <conditionalFormatting sqref="BN69">
    <cfRule type="expression" dxfId="32" priority="29">
      <formula>OR(BP14="Secondary with sixth form",BP14="Secondary without sixth form",BP14="Nursery")</formula>
    </cfRule>
  </conditionalFormatting>
  <conditionalFormatting sqref="BR61">
    <cfRule type="expression" dxfId="31" priority="28">
      <formula>OR(BT14="Nursery",BT14="Alternative provision",BT14="Special")</formula>
    </cfRule>
  </conditionalFormatting>
  <conditionalFormatting sqref="BR68">
    <cfRule type="expression" dxfId="30" priority="25">
      <formula>OR(BT14="Secondary with sixth form",BT14="Secondary without sixth form",BT14="Nursery")</formula>
    </cfRule>
  </conditionalFormatting>
  <conditionalFormatting sqref="BR66">
    <cfRule type="expression" dxfId="29" priority="26">
      <formula>BT14="Nursery"</formula>
    </cfRule>
    <cfRule type="expression" dxfId="28" priority="27">
      <formula>BT14="Primary"</formula>
    </cfRule>
  </conditionalFormatting>
  <conditionalFormatting sqref="BR67">
    <cfRule type="expression" dxfId="27" priority="23">
      <formula>OR(BT14="Secondary with sixth form",BT14="Secondary without sixth form")</formula>
    </cfRule>
    <cfRule type="expression" dxfId="26" priority="24">
      <formula>BT14="Nursery"</formula>
    </cfRule>
  </conditionalFormatting>
  <conditionalFormatting sqref="BR69">
    <cfRule type="expression" dxfId="25" priority="22">
      <formula>OR(BT14="Secondary with sixth form",BT14="Secondary without sixth form",BT14="Nursery")</formula>
    </cfRule>
  </conditionalFormatting>
  <conditionalFormatting sqref="BV61">
    <cfRule type="expression" dxfId="24" priority="21">
      <formula>OR(BX14="Nursery",BX14="Alternative provision",BX14="Special")</formula>
    </cfRule>
  </conditionalFormatting>
  <conditionalFormatting sqref="BV68">
    <cfRule type="expression" dxfId="23" priority="18">
      <formula>OR(BX14="Secondary with sixth form",BX14="Secondary without sixth form",BX14="Nursery")</formula>
    </cfRule>
  </conditionalFormatting>
  <conditionalFormatting sqref="BV66">
    <cfRule type="expression" dxfId="22" priority="19">
      <formula>BX14="Nursery"</formula>
    </cfRule>
    <cfRule type="expression" dxfId="21" priority="20">
      <formula>BX14="Primary"</formula>
    </cfRule>
  </conditionalFormatting>
  <conditionalFormatting sqref="BV67">
    <cfRule type="expression" dxfId="20" priority="16">
      <formula>OR(BX14="Secondary with sixth form",BX14="Secondary without sixth form")</formula>
    </cfRule>
    <cfRule type="expression" dxfId="19" priority="17">
      <formula>BX14="Nursery"</formula>
    </cfRule>
  </conditionalFormatting>
  <conditionalFormatting sqref="BV69">
    <cfRule type="expression" dxfId="18" priority="15">
      <formula>OR(BX14="Secondary with sixth form",BX14="Secondary without sixth form",BX14="Nursery")</formula>
    </cfRule>
  </conditionalFormatting>
  <conditionalFormatting sqref="BZ61">
    <cfRule type="expression" dxfId="17" priority="14">
      <formula>OR(CB14="Nursery",CB14="Alternative provision",CB14="Special")</formula>
    </cfRule>
  </conditionalFormatting>
  <conditionalFormatting sqref="BZ68">
    <cfRule type="expression" dxfId="16" priority="11">
      <formula>OR(CB14="Secondary with sixth form",CB14="Secondary without sixth form",CB14="Nursery")</formula>
    </cfRule>
  </conditionalFormatting>
  <conditionalFormatting sqref="BZ66">
    <cfRule type="expression" dxfId="15" priority="12">
      <formula>CB14="Nursery"</formula>
    </cfRule>
    <cfRule type="expression" dxfId="14" priority="13">
      <formula>CB14="Primary"</formula>
    </cfRule>
  </conditionalFormatting>
  <conditionalFormatting sqref="BZ67">
    <cfRule type="expression" dxfId="13" priority="9">
      <formula>OR(CB14="Secondary with sixth form",CB14="Secondary without sixth form")</formula>
    </cfRule>
    <cfRule type="expression" dxfId="12" priority="10">
      <formula>CB14="Nursery"</formula>
    </cfRule>
  </conditionalFormatting>
  <conditionalFormatting sqref="BZ69">
    <cfRule type="expression" dxfId="11" priority="8">
      <formula>OR(CB14="Secondary with sixth form",CB14="Secondary without sixth form",CB14="Nursery")</formula>
    </cfRule>
  </conditionalFormatting>
  <conditionalFormatting sqref="CD61">
    <cfRule type="expression" dxfId="10" priority="7">
      <formula>OR(CF14="Nursery",CF14="Alternative provision",CF14="Special")</formula>
    </cfRule>
  </conditionalFormatting>
  <conditionalFormatting sqref="CD68">
    <cfRule type="expression" dxfId="9" priority="4">
      <formula>OR(CF14="Secondary with sixth form",CF14="Secondary without sixth form",CF14="Nursery")</formula>
    </cfRule>
  </conditionalFormatting>
  <conditionalFormatting sqref="CD66">
    <cfRule type="expression" dxfId="8" priority="5">
      <formula>CF14="Nursery"</formula>
    </cfRule>
    <cfRule type="expression" dxfId="7" priority="6">
      <formula>CF14="Primary"</formula>
    </cfRule>
  </conditionalFormatting>
  <conditionalFormatting sqref="CD67">
    <cfRule type="expression" dxfId="6" priority="2">
      <formula>OR(CF14="Secondary with sixth form",CF14="Secondary without sixth form")</formula>
    </cfRule>
    <cfRule type="expression" dxfId="5" priority="3">
      <formula>CF14="Nursery"</formula>
    </cfRule>
  </conditionalFormatting>
  <conditionalFormatting sqref="CD69">
    <cfRule type="expression" dxfId="4" priority="1">
      <formula>OR(CF14="Secondary with sixth form",CF14="Secondary without sixth form",CF14="Nursery")</formula>
    </cfRule>
  </conditionalFormatting>
  <dataValidations count="15">
    <dataValidation allowBlank="1" showInputMessage="1" showErrorMessage="1" prompt="Input ratio here or use raw data form to input underlying data" sqref="F59 BZ59 J59 N59 V59 R59 Z59 AD59 AH59 AL59 AP59 AT59 AX59 BB59 BJ59 BF59 BN59 BR59 BV59 CD59"/>
    <dataValidation allowBlank="1" showInputMessage="1" showErrorMessage="1" prompt="Input ratio here or use raw data form to input workforce data" sqref="F57:F58 BZ57:BZ58 J57:J58 N57:N58 V57:V58 R57:R58 Z57:Z58 AD57:AD58 AH57:AH58 AL57:AL58 AP57:AP58 AT57:AT58 AX57:AX58 BB57:BB58 BJ57:BJ58 BF57:BF58 BN57:BN58 BR57:BR58 BV57:BV58 CD57:CD58"/>
    <dataValidation allowBlank="1" showInputMessage="1" showErrorMessage="1" prompt="Input percentage here or use raw data form to input workforce data" sqref="F56 BZ56 J56 N56 V56 R56 Z56 AD56 AH56 AL56 AP56 AT56 AX56 BB56 BJ56 BF56 BN56 BR56 BV56 CD56"/>
    <dataValidation allowBlank="1" showInputMessage="1" showErrorMessage="1" prompt="Input cost here or use raw data form to input spending and workforce data" sqref="F55 BZ55 J55 N55 V55 R55 Z55 AD55 AH55 AL55 AP55 AT55 AX55 BB55 BJ55 BF55 BN55 BR55 BV55 CD55"/>
    <dataValidation allowBlank="1" showInputMessage="1" showErrorMessage="1" prompt="Input percentage here or use raw data form to input balance and income data" sqref="CD50 BZ50 J50 N50 V50 R50 Z50 AD50 AH50 AL50 AP50 AT50 AX50 BB50 BJ50 BF50 BN50 BR50 BV50 F50"/>
    <dataValidation allowBlank="1" showInputMessage="1" showErrorMessage="1" prompt="Input percentage here or use raw data form to input reserves and income data" sqref="F51 BZ51 J51 N51 V51 R51 Z51 AD51 AH51 AL51 AP51 AT51 AX51 BB51 BJ51 BF51 BN51 BR51 BV51 CD51"/>
    <dataValidation allowBlank="1" showInputMessage="1" showErrorMessage="1" prompt="Input percentage here or use raw data form to input spending data" sqref="F38:F46 BZ38:BZ46 J38:J46 N38:N46 V38:V46 R38:R46 Z38:Z46 AD38:AD46 AH38:AH46 AL38:AL46 AP38:AP46 AT38:AT46 AX38:AX46 BB38:BB46 BJ38:BJ46 BF38:BF46 BN38:BN46 BR38:BR46 BV38:BV46 CD38:CD46"/>
    <dataValidation type="list" allowBlank="1" showInputMessage="1" showErrorMessage="1" prompt="Select phase from list" sqref="H14 L14 P14 X14 T14 AB14 CF14 AJ14 AN14 AR14 AV14 AZ14 BD14 BL14 BH14 BP14 BT14 BX14 CB14 AF14">
      <formula1>"Primary,Secondary with sixth form,Secondary without sixth form,All-through,Special,Alternative provision,Nursery"</formula1>
    </dataValidation>
    <dataValidation allowBlank="1" showInputMessage="1" showErrorMessage="1" prompt="Input percentage of pupils eligible for FSM" sqref="L17 P17 X17 T17 AB17 H17 AJ17 AN17 AR17 AV17 AZ17 BD17 BL17 BH17 BP17 BT17 BX17 CB17 CF17 AF17"/>
    <dataValidation allowBlank="1" showInputMessage="1" showErrorMessage="1" prompt="Input number of pupils" sqref="H16 L16 P16 X16 T16 AB16 CF16 AJ16 AN16 AR16 AV16 AZ16 BD16 BL16 BH16 BP16 BT16 BX16 CB16 AF16"/>
    <dataValidation type="list" allowBlank="1" showInputMessage="1" showErrorMessage="1" prompt="Select region from list" sqref="H15 L15 P15 X15 T15 AB15 CF15 AJ15 AN15 AR15 AV15 AZ15 BD15 BL15 BH15 BP15 BT15 BX15 CB15 AF15">
      <formula1>"East Midlands,East of England,Inner London,North East,North West,Outer London,South East,South West, West Midlands, Yorkshire and the Humber"</formula1>
    </dataValidation>
    <dataValidation allowBlank="1" showInputMessage="1" showErrorMessage="1" prompt="Input percentage" sqref="F60 J60 N60 R60 V60 Z60 AD60 AH60 AL60 AP60 AT60 AX60 BB60 BF60 BJ60 BN60 BR60 BV60 BZ60 CD60"/>
    <dataValidation allowBlank="1" showInputMessage="1" showErrorMessage="1" prompt="Input average class size" sqref="F61 J61 N61 R61 V61 Z61 AD61 AH61 AL61 AP61 AT61 AX61 BB61 BF61 BJ61 BN61 BR61 BV61 BZ61 CD61"/>
    <dataValidation type="list" allowBlank="1" showInputMessage="1" showErrorMessage="1" prompt="Select rating from list" sqref="F65 J65 N65 R65 V65 Z65 AD65 AH65 AL65 AP65 AT65 AX65 BB65 BF65 BJ65 BN65 BR65 BV65 BZ65 CD65">
      <formula1>"Outstanding, Good, RI, Inadequate"</formula1>
    </dataValidation>
    <dataValidation allowBlank="1" showInputMessage="1" showErrorMessage="1" prompt="Input progress score" sqref="F66:F69 J66:J69 N66:N69 R66:R69 V66:V69 Z66:Z69 AD66:AD69 AH66:AH69 AL66:AL69 AP66:AP69 AT66:AT69 AX66:AX69 BB66:BB69 BF66:BF69 BJ66:BJ69 BN66:BN69 BR66:BR69 BV66:BV69 BZ66:BZ69 CD66:CD69"/>
  </dataValidations>
  <hyperlinks>
    <hyperlink ref="D38" r:id="rId1" location="spend-on-teaching-staff-as-a-percentage-of-total-expenditure"/>
    <hyperlink ref="D39" r:id="rId2" location="spend-on-supply-staff-as-a-percentage-of-total-expenditure"/>
    <hyperlink ref="D40" r:id="rId3" location="spend-on-education-support-staff-as-a-percentage-of-total-expenditure"/>
    <hyperlink ref="D41" r:id="rId4" location="spend-on-administrative-and-clerical-staff-as-a-percentage-of-total-expenditure"/>
    <hyperlink ref="D42" r:id="rId5" location="spend-on-other-staff-costs-as-a-percentage-of-total-expenditure"/>
    <hyperlink ref="D43" r:id="rId6" location="spend-on-premises-including-staff-costs-as-a-percentage-of-total-expenditure"/>
    <hyperlink ref="D44" r:id="rId7" location="spend-on-teaching-resources-as-a-percentage-of-total-expenditure"/>
    <hyperlink ref="D45" r:id="rId8" location="spend-on-energy-as-a-percentage-of-total-expenditure"/>
    <hyperlink ref="D46" r:id="rId9" location="other-spending-as-a-percentage-of-total-expenditure"/>
    <hyperlink ref="D50" r:id="rId10" location="in-year-balance-as-a-percentage-of-total-income"/>
    <hyperlink ref="D51" r:id="rId11" location="revenue-reserve-as-a-percentage-of-total-income"/>
    <hyperlink ref="D55" r:id="rId12" location="average-teacher-cost"/>
    <hyperlink ref="D56" r:id="rId13" location="senior-leaders-as-a-percentage-of-workforce"/>
    <hyperlink ref="D57" r:id="rId14" location="pupil-to-teacher-ratio"/>
    <hyperlink ref="D58" r:id="rId15" location="pupil-to-adult-ratio"/>
    <hyperlink ref="D59" r:id="rId16" location="teacher-contact-ratio"/>
    <hyperlink ref="D60" r:id="rId17" location="predicted-percentage-pupil-number-change-in-3-to-5-years"/>
    <hyperlink ref="D61" r:id="rId18" location="average-class-size" display="https://www.gov.uk/government/publications/school-resource-management-self-assessment-tool/dashboard-support-notes - average-class-size"/>
    <hyperlink ref="D65" r:id="rId19" location="ofsted-rating"/>
    <hyperlink ref="D66" r:id="rId20" location="progress-8-score" display="https://www.gov.uk/government/publications/school-resource-management-self-assessment-tool/dashboard-support-notes - progress-8-score"/>
    <hyperlink ref="D67" r:id="rId21" location="progress-scores-in-reading-writing-and-maths" display="https://www.gov.uk/government/publications/school-resource-management-self-assessment-tool/dashboard-support-notes - progress-scores-in-reading-writing-and-maths"/>
    <hyperlink ref="D68" r:id="rId22" location="progress-scores-in-reading-writing-and-maths" display="https://www.gov.uk/government/publications/school-resource-management-self-assessment-tool/dashboard-support-notes - progress-scores-in-reading-writing-and-maths"/>
    <hyperlink ref="D69" r:id="rId23" location="progress-scores-in-reading-writing-and-maths" display="https://www.gov.uk/government/publications/school-resource-management-self-assessment-tool/dashboard-support-notes - progress-scores-in-reading-writing-and-maths"/>
    <hyperlink ref="F27:H28" location="'Optional - input raw data'!F19" display="Input the school's data directly below, or click here to input raw data for this school"/>
    <hyperlink ref="J27:L28" location="'Optional - input raw data'!H19" display="Input the school's data directly below, or click here to input raw data for this school"/>
    <hyperlink ref="N27:P28" location="'Optional - input raw data'!J19" display="Input the school's data directly below, or click here to input raw data for this school"/>
    <hyperlink ref="R27:T28" location="'Optional - input raw data'!L19" display="Input the school's data directly below, or click here to input raw data for this school"/>
    <hyperlink ref="V27:X28" location="'Optional - input raw data'!N19" display="Input the school's data directly below, or click here to input raw data for this school"/>
    <hyperlink ref="Z27:AB28" location="'Optional - input raw data'!P19" display="Input the school's data directly below, or click here to input raw data for this school"/>
    <hyperlink ref="AD27:AF28" location="'Optional - input raw data'!R19" display="Input the school's data directly below, or click here to input raw data for this school"/>
    <hyperlink ref="AH27:AJ28" location="'Optional - input raw data'!T19" display="Input the school's data directly below, or click here to input raw data for this school"/>
    <hyperlink ref="AL27:AN28" location="'Optional - input raw data'!V19" display="Input the school's data directly below, or click here to input raw data for this school"/>
    <hyperlink ref="AP27:AR28" location="'Optional - input raw data'!X19" display="Input the school's data directly below, or click here to input raw data for this school"/>
    <hyperlink ref="AT27:AV28" location="'Optional - input raw data'!Z19" display="Input the school's data directly below, or click here to input raw data for this school"/>
    <hyperlink ref="AX27:AZ28" location="'Optional - input raw data'!AB19" display="Input the school's data directly below, or click here to input raw data for this school"/>
    <hyperlink ref="BB27:BD28" location="'Optional - input raw data'!AD19" display="Input the school's data directly below, or click here to input raw data for this school"/>
    <hyperlink ref="BF27:BH28" location="'Optional - input raw data'!AF19" display="Input the school's data directly below, or click here to input raw data for this school"/>
    <hyperlink ref="BJ27:BL28" location="'Optional - input raw data'!AH19" display="Input the school's data directly below, or click here to input raw data for this school"/>
    <hyperlink ref="BN27:BP28" location="'Optional - input raw data'!AJ19" display="Input the school's data directly below, or click here to input raw data for this school"/>
    <hyperlink ref="BR27:BT28" location="'Optional - input raw data'!AL19" display="Input the school's data directly below, or click here to input raw data for this school"/>
    <hyperlink ref="BV27:BX28" location="'Optional - input raw data'!AN19" display="Input the school's data directly below, or click here to input raw data for this school"/>
    <hyperlink ref="BZ27:CB28" location="'Optional - input raw data'!AP19" display="Input the school's data directly below, or click here to input raw data for this school"/>
    <hyperlink ref="CD27:CF28" location="'Optional - input raw data'!AR19" display="Input the school's data directly below, or click here to input raw data for this school"/>
    <hyperlink ref="C29:D32" r:id="rId24" location="using-the-results-from-the-dashboard" display="https://www.gov.uk/government/publications/school-resource-management-self-assessment-tool/dashboard-support-notes - using-the-results-from-the-dashboard"/>
    <hyperlink ref="C19:D21" r:id="rId25" display="Guidance on calculating or collecting the data for the school so that metrics are compared to thresholds consistently can be found here. Clicking on the link next to individual indicators below will also take you to the relevant section of the guidance."/>
    <hyperlink ref="C22:D24" location="'Optional - input raw data'!A1" display="Either input the school's percentages and ratios directly, or complete the Optional - input raw data form with spending information and school characteristics. The percentages and ratios in the dashboard will then auto-calculate."/>
  </hyperlinks>
  <pageMargins left="0.70866141732283472" right="0.70866141732283472" top="0.74803149606299213" bottom="0.74803149606299213" header="0.31496062992125984" footer="0.31496062992125984"/>
  <pageSetup paperSize="9" scale="52" orientation="portrait" cellComments="asDisplayed" r:id="rId26"/>
  <colBreaks count="1" manualBreakCount="1">
    <brk id="17" max="1048575" man="1"/>
  </colBreaks>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AT86"/>
  <sheetViews>
    <sheetView showGridLines="0" showRowColHeaders="0" topLeftCell="A28" zoomScale="80" zoomScaleNormal="80" workbookViewId="0">
      <selection activeCell="F29" sqref="F29"/>
    </sheetView>
  </sheetViews>
  <sheetFormatPr defaultColWidth="0" defaultRowHeight="15" zeroHeight="1" x14ac:dyDescent="0.2"/>
  <cols>
    <col min="1" max="1" width="8" style="52" customWidth="1"/>
    <col min="2" max="2" width="4.140625" style="52" customWidth="1"/>
    <col min="3" max="3" width="5.5703125" style="52" customWidth="1"/>
    <col min="4" max="4" width="69.140625" style="52" customWidth="1"/>
    <col min="5" max="5" width="7.85546875" style="52" customWidth="1"/>
    <col min="6" max="6" width="23.42578125" style="52" customWidth="1"/>
    <col min="7" max="7" width="4.140625" style="52" hidden="1" customWidth="1"/>
    <col min="8" max="8" width="23.42578125" style="52" hidden="1" customWidth="1"/>
    <col min="9" max="9" width="4.140625" style="52" hidden="1" customWidth="1"/>
    <col min="10" max="10" width="23.42578125" style="52" hidden="1" customWidth="1"/>
    <col min="11" max="11" width="4.140625" style="52" hidden="1" customWidth="1"/>
    <col min="12" max="12" width="23.42578125" style="52" hidden="1" customWidth="1"/>
    <col min="13" max="13" width="4.140625" style="52" hidden="1" customWidth="1"/>
    <col min="14" max="14" width="23.42578125" style="52" hidden="1" customWidth="1"/>
    <col min="15" max="15" width="4.140625" style="52" hidden="1" customWidth="1"/>
    <col min="16" max="16" width="23.42578125" style="52" hidden="1" customWidth="1"/>
    <col min="17" max="17" width="4.140625" style="52" hidden="1" customWidth="1"/>
    <col min="18" max="18" width="23.42578125" style="52" hidden="1" customWidth="1"/>
    <col min="19" max="19" width="4.140625" style="52" hidden="1" customWidth="1"/>
    <col min="20" max="20" width="23.42578125" style="52" hidden="1" customWidth="1"/>
    <col min="21" max="21" width="4.140625" style="52" hidden="1" customWidth="1"/>
    <col min="22" max="22" width="23.42578125" style="52" hidden="1" customWidth="1"/>
    <col min="23" max="23" width="4.140625" style="52" hidden="1" customWidth="1"/>
    <col min="24" max="24" width="23.42578125" style="52" hidden="1" customWidth="1"/>
    <col min="25" max="25" width="4.140625" style="52" hidden="1" customWidth="1"/>
    <col min="26" max="26" width="23.42578125" style="52" hidden="1" customWidth="1"/>
    <col min="27" max="27" width="4.140625" style="52" hidden="1" customWidth="1"/>
    <col min="28" max="28" width="23.42578125" style="52" hidden="1" customWidth="1"/>
    <col min="29" max="29" width="4.140625" style="52" hidden="1" customWidth="1"/>
    <col min="30" max="30" width="23.42578125" style="52" hidden="1" customWidth="1"/>
    <col min="31" max="31" width="4.140625" style="52" hidden="1" customWidth="1"/>
    <col min="32" max="32" width="23.42578125" style="52" hidden="1" customWidth="1"/>
    <col min="33" max="33" width="4.140625" style="52" hidden="1" customWidth="1"/>
    <col min="34" max="34" width="23.42578125" style="52" hidden="1" customWidth="1"/>
    <col min="35" max="35" width="4.140625" style="52" hidden="1" customWidth="1"/>
    <col min="36" max="36" width="23.42578125" style="52" hidden="1" customWidth="1"/>
    <col min="37" max="37" width="4.140625" style="52" hidden="1" customWidth="1"/>
    <col min="38" max="38" width="23.42578125" style="52" hidden="1" customWidth="1"/>
    <col min="39" max="39" width="4.140625" style="52" hidden="1" customWidth="1"/>
    <col min="40" max="40" width="23.42578125" style="52" hidden="1" customWidth="1"/>
    <col min="41" max="41" width="4.140625" style="52" hidden="1" customWidth="1"/>
    <col min="42" max="42" width="23.42578125" style="52" hidden="1" customWidth="1"/>
    <col min="43" max="43" width="4.140625" style="52" hidden="1" customWidth="1"/>
    <col min="44" max="44" width="23.42578125" style="52" hidden="1" customWidth="1"/>
    <col min="45" max="45" width="4.140625" style="52" customWidth="1"/>
    <col min="46" max="46" width="8" style="52" customWidth="1"/>
    <col min="47" max="16384" width="9" style="52" hidden="1"/>
  </cols>
  <sheetData>
    <row r="1" spans="2:45" ht="15.75" thickBot="1" x14ac:dyDescent="0.25"/>
    <row r="2" spans="2:45" x14ac:dyDescent="0.2">
      <c r="B2" s="57"/>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9"/>
    </row>
    <row r="3" spans="2:45" ht="24.95" customHeight="1" x14ac:dyDescent="0.2">
      <c r="B3" s="60"/>
      <c r="C3" s="342" t="s">
        <v>102</v>
      </c>
      <c r="D3" s="342"/>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61"/>
    </row>
    <row r="4" spans="2:45" s="179" customFormat="1" x14ac:dyDescent="0.2">
      <c r="B4" s="175"/>
      <c r="C4" s="176"/>
      <c r="D4" s="176"/>
      <c r="E4" s="176"/>
      <c r="F4" s="177">
        <v>1</v>
      </c>
      <c r="G4" s="177"/>
      <c r="H4" s="177">
        <v>2</v>
      </c>
      <c r="I4" s="177"/>
      <c r="J4" s="177">
        <v>3</v>
      </c>
      <c r="K4" s="177"/>
      <c r="L4" s="177">
        <v>4</v>
      </c>
      <c r="M4" s="176"/>
      <c r="N4" s="177">
        <v>5</v>
      </c>
      <c r="O4" s="177"/>
      <c r="P4" s="177">
        <v>6</v>
      </c>
      <c r="Q4" s="177"/>
      <c r="R4" s="177">
        <v>7</v>
      </c>
      <c r="S4" s="177"/>
      <c r="T4" s="177">
        <v>8</v>
      </c>
      <c r="U4" s="176"/>
      <c r="V4" s="177">
        <v>9</v>
      </c>
      <c r="W4" s="177"/>
      <c r="X4" s="177">
        <v>10</v>
      </c>
      <c r="Y4" s="176"/>
      <c r="Z4" s="177">
        <v>11</v>
      </c>
      <c r="AA4" s="177"/>
      <c r="AB4" s="177">
        <v>12</v>
      </c>
      <c r="AC4" s="177"/>
      <c r="AE4" s="177"/>
      <c r="AF4" s="177">
        <v>14</v>
      </c>
      <c r="AG4" s="176"/>
      <c r="AH4" s="177">
        <v>15</v>
      </c>
      <c r="AI4" s="177"/>
      <c r="AJ4" s="177">
        <v>16</v>
      </c>
      <c r="AK4" s="177"/>
      <c r="AL4" s="177">
        <v>17</v>
      </c>
      <c r="AM4" s="177"/>
      <c r="AN4" s="177">
        <v>18</v>
      </c>
      <c r="AO4" s="176"/>
      <c r="AP4" s="177">
        <v>19</v>
      </c>
      <c r="AQ4" s="177"/>
      <c r="AR4" s="177">
        <v>20</v>
      </c>
      <c r="AS4" s="178"/>
    </row>
    <row r="5" spans="2:45" ht="15" customHeight="1" x14ac:dyDescent="0.2">
      <c r="B5" s="60"/>
      <c r="C5" s="343" t="s">
        <v>335</v>
      </c>
      <c r="D5" s="344"/>
      <c r="E5" s="62"/>
      <c r="F5" s="62"/>
      <c r="G5" s="62"/>
      <c r="H5" s="62"/>
      <c r="I5" s="62"/>
      <c r="J5" s="62"/>
      <c r="K5" s="62"/>
      <c r="L5" s="62"/>
      <c r="M5" s="62"/>
      <c r="N5" s="62"/>
      <c r="O5" s="62"/>
      <c r="P5" s="62"/>
      <c r="Q5" s="62"/>
      <c r="R5" s="62"/>
      <c r="S5" s="62"/>
      <c r="T5" s="62"/>
      <c r="U5" s="62"/>
      <c r="V5" s="62"/>
      <c r="W5" s="62"/>
      <c r="X5" s="62"/>
      <c r="Y5" s="62"/>
      <c r="Z5" s="62"/>
      <c r="AA5" s="62"/>
      <c r="AB5" s="62"/>
      <c r="AC5" s="62"/>
      <c r="AD5" s="177">
        <v>13</v>
      </c>
      <c r="AE5" s="62"/>
      <c r="AF5" s="62"/>
      <c r="AG5" s="62"/>
      <c r="AH5" s="62"/>
      <c r="AI5" s="62"/>
      <c r="AJ5" s="62"/>
      <c r="AK5" s="62"/>
      <c r="AL5" s="62"/>
      <c r="AM5" s="62"/>
      <c r="AN5" s="62"/>
      <c r="AO5" s="62"/>
      <c r="AP5" s="62"/>
      <c r="AQ5" s="62"/>
      <c r="AR5" s="62"/>
      <c r="AS5" s="61"/>
    </row>
    <row r="6" spans="2:45" x14ac:dyDescent="0.2">
      <c r="B6" s="60"/>
      <c r="C6" s="345"/>
      <c r="D6" s="346"/>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1"/>
    </row>
    <row r="7" spans="2:45" x14ac:dyDescent="0.2">
      <c r="B7" s="60"/>
      <c r="C7" s="345"/>
      <c r="D7" s="346"/>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1"/>
    </row>
    <row r="8" spans="2:45" x14ac:dyDescent="0.2">
      <c r="B8" s="60"/>
      <c r="C8" s="345"/>
      <c r="D8" s="346"/>
      <c r="E8" s="62"/>
      <c r="F8" s="162" t="s">
        <v>6</v>
      </c>
      <c r="G8" s="62"/>
      <c r="H8" s="162" t="s">
        <v>6</v>
      </c>
      <c r="I8" s="62"/>
      <c r="J8" s="162" t="s">
        <v>6</v>
      </c>
      <c r="K8" s="62"/>
      <c r="L8" s="162" t="s">
        <v>6</v>
      </c>
      <c r="M8" s="62"/>
      <c r="N8" s="162" t="s">
        <v>6</v>
      </c>
      <c r="O8" s="62"/>
      <c r="P8" s="162" t="s">
        <v>6</v>
      </c>
      <c r="Q8" s="62"/>
      <c r="R8" s="162" t="s">
        <v>6</v>
      </c>
      <c r="S8" s="62"/>
      <c r="T8" s="162" t="s">
        <v>6</v>
      </c>
      <c r="U8" s="62"/>
      <c r="V8" s="162" t="s">
        <v>6</v>
      </c>
      <c r="W8" s="62"/>
      <c r="X8" s="162" t="s">
        <v>6</v>
      </c>
      <c r="Y8" s="62"/>
      <c r="Z8" s="162" t="s">
        <v>6</v>
      </c>
      <c r="AA8" s="62"/>
      <c r="AB8" s="162" t="s">
        <v>6</v>
      </c>
      <c r="AC8" s="62"/>
      <c r="AD8" s="162" t="s">
        <v>6</v>
      </c>
      <c r="AE8" s="62"/>
      <c r="AF8" s="162" t="s">
        <v>6</v>
      </c>
      <c r="AG8" s="62"/>
      <c r="AH8" s="162" t="s">
        <v>6</v>
      </c>
      <c r="AI8" s="62"/>
      <c r="AJ8" s="162" t="s">
        <v>6</v>
      </c>
      <c r="AK8" s="62"/>
      <c r="AL8" s="162" t="s">
        <v>6</v>
      </c>
      <c r="AM8" s="62"/>
      <c r="AN8" s="162" t="s">
        <v>6</v>
      </c>
      <c r="AO8" s="62"/>
      <c r="AP8" s="162" t="s">
        <v>6</v>
      </c>
      <c r="AQ8" s="62"/>
      <c r="AR8" s="162" t="s">
        <v>6</v>
      </c>
      <c r="AS8" s="61"/>
    </row>
    <row r="9" spans="2:45" x14ac:dyDescent="0.2">
      <c r="B9" s="60"/>
      <c r="C9" s="345"/>
      <c r="D9" s="346"/>
      <c r="E9" s="62"/>
      <c r="F9" s="340" t="str">
        <f>IF(Dashboard!H13="","",Dashboard!H13)</f>
        <v>Shenfield High School</v>
      </c>
      <c r="G9" s="62"/>
      <c r="H9" s="340" t="str">
        <f>IF(Dashboard!L13="","",Dashboard!L13)</f>
        <v/>
      </c>
      <c r="I9" s="62"/>
      <c r="J9" s="340" t="str">
        <f>IF(Dashboard!P13="","",Dashboard!P13)</f>
        <v/>
      </c>
      <c r="K9" s="62"/>
      <c r="L9" s="340" t="str">
        <f>IF(Dashboard!T13="","",Dashboard!T13)</f>
        <v/>
      </c>
      <c r="M9" s="62"/>
      <c r="N9" s="340" t="str">
        <f>IF(Dashboard!X13="","",Dashboard!X13)</f>
        <v/>
      </c>
      <c r="O9" s="62"/>
      <c r="P9" s="340" t="str">
        <f>IF(Dashboard!AB13="","",Dashboard!AB13)</f>
        <v/>
      </c>
      <c r="Q9" s="62"/>
      <c r="R9" s="340" t="str">
        <f>IF(Dashboard!AF13="","",Dashboard!AF13)</f>
        <v/>
      </c>
      <c r="S9" s="62"/>
      <c r="T9" s="340" t="str">
        <f>IF(Dashboard!AJ13="","",Dashboard!AJ13)</f>
        <v/>
      </c>
      <c r="U9" s="62"/>
      <c r="V9" s="340" t="str">
        <f>IF(Dashboard!AN13="","",Dashboard!AN13)</f>
        <v/>
      </c>
      <c r="W9" s="62"/>
      <c r="X9" s="340" t="str">
        <f>IF(Dashboard!AR13="","",Dashboard!AR13)</f>
        <v/>
      </c>
      <c r="Y9" s="62"/>
      <c r="Z9" s="340" t="str">
        <f>IF(Dashboard!AV13="","",Dashboard!AV13)</f>
        <v/>
      </c>
      <c r="AA9" s="62"/>
      <c r="AB9" s="340" t="str">
        <f>IF(Dashboard!AZ13="","",Dashboard!AZ13)</f>
        <v/>
      </c>
      <c r="AC9" s="62"/>
      <c r="AD9" s="340" t="str">
        <f>IF(Dashboard!BD13="","",Dashboard!BD13)</f>
        <v/>
      </c>
      <c r="AE9" s="62"/>
      <c r="AF9" s="340" t="str">
        <f>IF(Dashboard!BH13="","",Dashboard!BH13)</f>
        <v/>
      </c>
      <c r="AG9" s="62"/>
      <c r="AH9" s="340" t="str">
        <f>IF(Dashboard!BL13="","",Dashboard!BL13)</f>
        <v/>
      </c>
      <c r="AI9" s="62"/>
      <c r="AJ9" s="340" t="str">
        <f>IF(Dashboard!BP13="","",Dashboard!BP13)</f>
        <v/>
      </c>
      <c r="AK9" s="62"/>
      <c r="AL9" s="340" t="str">
        <f>IF(Dashboard!BT13="","",Dashboard!BT13)</f>
        <v/>
      </c>
      <c r="AM9" s="62"/>
      <c r="AN9" s="340" t="str">
        <f>IF(Dashboard!BX13="","",Dashboard!BX13)</f>
        <v/>
      </c>
      <c r="AO9" s="62"/>
      <c r="AP9" s="340" t="str">
        <f>IF(Dashboard!CB13="","",Dashboard!CB13)</f>
        <v/>
      </c>
      <c r="AQ9" s="62"/>
      <c r="AR9" s="340" t="str">
        <f>IF(Dashboard!CF13="","",Dashboard!CF13)</f>
        <v/>
      </c>
      <c r="AS9" s="61"/>
    </row>
    <row r="10" spans="2:45" x14ac:dyDescent="0.2">
      <c r="B10" s="60"/>
      <c r="C10" s="345"/>
      <c r="D10" s="346"/>
      <c r="E10" s="62"/>
      <c r="F10" s="341"/>
      <c r="G10" s="62"/>
      <c r="H10" s="341"/>
      <c r="I10" s="62"/>
      <c r="J10" s="341"/>
      <c r="K10" s="62"/>
      <c r="L10" s="341"/>
      <c r="M10" s="62"/>
      <c r="N10" s="341"/>
      <c r="O10" s="62"/>
      <c r="P10" s="341"/>
      <c r="Q10" s="62"/>
      <c r="R10" s="341"/>
      <c r="S10" s="62"/>
      <c r="T10" s="341"/>
      <c r="U10" s="62"/>
      <c r="V10" s="341"/>
      <c r="W10" s="62"/>
      <c r="X10" s="341"/>
      <c r="Y10" s="62"/>
      <c r="Z10" s="341"/>
      <c r="AA10" s="62"/>
      <c r="AB10" s="341"/>
      <c r="AC10" s="62"/>
      <c r="AD10" s="341"/>
      <c r="AE10" s="62"/>
      <c r="AF10" s="341"/>
      <c r="AG10" s="62"/>
      <c r="AH10" s="341"/>
      <c r="AI10" s="62"/>
      <c r="AJ10" s="341"/>
      <c r="AK10" s="62"/>
      <c r="AL10" s="341"/>
      <c r="AM10" s="62"/>
      <c r="AN10" s="341"/>
      <c r="AO10" s="62"/>
      <c r="AP10" s="341"/>
      <c r="AQ10" s="62"/>
      <c r="AR10" s="341"/>
      <c r="AS10" s="61"/>
    </row>
    <row r="11" spans="2:45" x14ac:dyDescent="0.2">
      <c r="B11" s="60"/>
      <c r="C11" s="345"/>
      <c r="D11" s="346"/>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1"/>
    </row>
    <row r="12" spans="2:45" ht="15" customHeight="1" x14ac:dyDescent="0.2">
      <c r="B12" s="60"/>
      <c r="C12" s="345"/>
      <c r="D12" s="346"/>
      <c r="E12" s="62"/>
      <c r="F12" s="349" t="s">
        <v>334</v>
      </c>
      <c r="G12" s="62"/>
      <c r="H12" s="349" t="s">
        <v>334</v>
      </c>
      <c r="I12" s="62"/>
      <c r="J12" s="349" t="s">
        <v>334</v>
      </c>
      <c r="K12" s="62"/>
      <c r="L12" s="349" t="s">
        <v>334</v>
      </c>
      <c r="M12" s="62"/>
      <c r="N12" s="349" t="s">
        <v>334</v>
      </c>
      <c r="O12" s="62"/>
      <c r="P12" s="349" t="s">
        <v>334</v>
      </c>
      <c r="Q12" s="62"/>
      <c r="R12" s="349" t="s">
        <v>334</v>
      </c>
      <c r="S12" s="62"/>
      <c r="T12" s="349" t="s">
        <v>334</v>
      </c>
      <c r="U12" s="62"/>
      <c r="V12" s="349" t="s">
        <v>334</v>
      </c>
      <c r="W12" s="62"/>
      <c r="X12" s="349" t="s">
        <v>334</v>
      </c>
      <c r="Y12" s="62"/>
      <c r="Z12" s="349" t="s">
        <v>334</v>
      </c>
      <c r="AA12" s="62"/>
      <c r="AB12" s="349" t="s">
        <v>334</v>
      </c>
      <c r="AC12" s="62"/>
      <c r="AD12" s="349" t="s">
        <v>334</v>
      </c>
      <c r="AE12" s="62"/>
      <c r="AF12" s="349" t="s">
        <v>334</v>
      </c>
      <c r="AG12" s="62"/>
      <c r="AH12" s="349" t="s">
        <v>334</v>
      </c>
      <c r="AI12" s="62"/>
      <c r="AJ12" s="349" t="s">
        <v>334</v>
      </c>
      <c r="AK12" s="62"/>
      <c r="AL12" s="349" t="s">
        <v>334</v>
      </c>
      <c r="AM12" s="62"/>
      <c r="AN12" s="349" t="s">
        <v>334</v>
      </c>
      <c r="AO12" s="62"/>
      <c r="AP12" s="349" t="s">
        <v>334</v>
      </c>
      <c r="AQ12" s="62"/>
      <c r="AR12" s="349" t="s">
        <v>334</v>
      </c>
      <c r="AS12" s="61"/>
    </row>
    <row r="13" spans="2:45" ht="46.9" customHeight="1" x14ac:dyDescent="0.2">
      <c r="B13" s="60"/>
      <c r="C13" s="345"/>
      <c r="D13" s="346"/>
      <c r="E13" s="62"/>
      <c r="F13" s="349"/>
      <c r="G13" s="62"/>
      <c r="H13" s="349"/>
      <c r="I13" s="62"/>
      <c r="J13" s="349"/>
      <c r="K13" s="62"/>
      <c r="L13" s="349"/>
      <c r="M13" s="62"/>
      <c r="N13" s="349"/>
      <c r="O13" s="62"/>
      <c r="P13" s="349"/>
      <c r="Q13" s="62"/>
      <c r="R13" s="349"/>
      <c r="S13" s="62"/>
      <c r="T13" s="349"/>
      <c r="U13" s="62"/>
      <c r="V13" s="349"/>
      <c r="W13" s="62"/>
      <c r="X13" s="349"/>
      <c r="Y13" s="62"/>
      <c r="Z13" s="349"/>
      <c r="AA13" s="62"/>
      <c r="AB13" s="349"/>
      <c r="AC13" s="62"/>
      <c r="AD13" s="349"/>
      <c r="AE13" s="62"/>
      <c r="AF13" s="349"/>
      <c r="AG13" s="62"/>
      <c r="AH13" s="349"/>
      <c r="AI13" s="62"/>
      <c r="AJ13" s="349"/>
      <c r="AK13" s="62"/>
      <c r="AL13" s="349"/>
      <c r="AM13" s="62"/>
      <c r="AN13" s="349"/>
      <c r="AO13" s="62"/>
      <c r="AP13" s="349"/>
      <c r="AQ13" s="62"/>
      <c r="AR13" s="349"/>
      <c r="AS13" s="61"/>
    </row>
    <row r="14" spans="2:45" ht="15" customHeight="1" x14ac:dyDescent="0.2">
      <c r="B14" s="60"/>
      <c r="C14" s="345"/>
      <c r="D14" s="346"/>
      <c r="E14" s="62"/>
      <c r="F14" s="349"/>
      <c r="G14" s="62"/>
      <c r="H14" s="349"/>
      <c r="I14" s="62"/>
      <c r="J14" s="349"/>
      <c r="K14" s="62"/>
      <c r="L14" s="349"/>
      <c r="M14" s="62"/>
      <c r="N14" s="349"/>
      <c r="O14" s="62"/>
      <c r="P14" s="349"/>
      <c r="Q14" s="62"/>
      <c r="R14" s="349"/>
      <c r="S14" s="62"/>
      <c r="T14" s="349"/>
      <c r="U14" s="62"/>
      <c r="V14" s="349"/>
      <c r="W14" s="62"/>
      <c r="X14" s="349"/>
      <c r="Y14" s="62"/>
      <c r="Z14" s="349"/>
      <c r="AA14" s="62"/>
      <c r="AB14" s="349"/>
      <c r="AC14" s="62"/>
      <c r="AD14" s="349"/>
      <c r="AE14" s="62"/>
      <c r="AF14" s="349"/>
      <c r="AG14" s="62"/>
      <c r="AH14" s="349"/>
      <c r="AI14" s="62"/>
      <c r="AJ14" s="349"/>
      <c r="AK14" s="62"/>
      <c r="AL14" s="349"/>
      <c r="AM14" s="62"/>
      <c r="AN14" s="349"/>
      <c r="AO14" s="62"/>
      <c r="AP14" s="349"/>
      <c r="AQ14" s="62"/>
      <c r="AR14" s="349"/>
      <c r="AS14" s="61"/>
    </row>
    <row r="15" spans="2:45" ht="15" customHeight="1" x14ac:dyDescent="0.2">
      <c r="B15" s="60"/>
      <c r="C15" s="345"/>
      <c r="D15" s="346"/>
      <c r="E15" s="62"/>
      <c r="F15" s="349"/>
      <c r="G15" s="62"/>
      <c r="H15" s="349"/>
      <c r="I15" s="62"/>
      <c r="J15" s="349"/>
      <c r="K15" s="62"/>
      <c r="L15" s="349"/>
      <c r="M15" s="62"/>
      <c r="N15" s="349"/>
      <c r="O15" s="62"/>
      <c r="P15" s="349"/>
      <c r="Q15" s="62"/>
      <c r="R15" s="349"/>
      <c r="S15" s="62"/>
      <c r="T15" s="349"/>
      <c r="U15" s="62"/>
      <c r="V15" s="349"/>
      <c r="W15" s="62"/>
      <c r="X15" s="349"/>
      <c r="Y15" s="62"/>
      <c r="Z15" s="349"/>
      <c r="AA15" s="62"/>
      <c r="AB15" s="349"/>
      <c r="AC15" s="62"/>
      <c r="AD15" s="349"/>
      <c r="AE15" s="62"/>
      <c r="AF15" s="349"/>
      <c r="AG15" s="62"/>
      <c r="AH15" s="349"/>
      <c r="AI15" s="62"/>
      <c r="AJ15" s="349"/>
      <c r="AK15" s="62"/>
      <c r="AL15" s="349"/>
      <c r="AM15" s="62"/>
      <c r="AN15" s="349"/>
      <c r="AO15" s="62"/>
      <c r="AP15" s="349"/>
      <c r="AQ15" s="62"/>
      <c r="AR15" s="349"/>
      <c r="AS15" s="61"/>
    </row>
    <row r="16" spans="2:45" ht="15" customHeight="1" x14ac:dyDescent="0.2">
      <c r="B16" s="60"/>
      <c r="C16" s="347"/>
      <c r="D16" s="348"/>
      <c r="E16" s="62"/>
      <c r="F16" s="349"/>
      <c r="G16" s="62"/>
      <c r="H16" s="349"/>
      <c r="I16" s="62"/>
      <c r="J16" s="349"/>
      <c r="K16" s="62"/>
      <c r="L16" s="349"/>
      <c r="M16" s="62"/>
      <c r="N16" s="349"/>
      <c r="O16" s="62"/>
      <c r="P16" s="349"/>
      <c r="Q16" s="62"/>
      <c r="R16" s="349"/>
      <c r="S16" s="62"/>
      <c r="T16" s="349"/>
      <c r="U16" s="62"/>
      <c r="V16" s="349"/>
      <c r="W16" s="62"/>
      <c r="X16" s="349"/>
      <c r="Y16" s="62"/>
      <c r="Z16" s="349"/>
      <c r="AA16" s="62"/>
      <c r="AB16" s="349"/>
      <c r="AC16" s="62"/>
      <c r="AD16" s="349"/>
      <c r="AE16" s="62"/>
      <c r="AF16" s="349"/>
      <c r="AG16" s="62"/>
      <c r="AH16" s="349"/>
      <c r="AI16" s="62"/>
      <c r="AJ16" s="349"/>
      <c r="AK16" s="62"/>
      <c r="AL16" s="349"/>
      <c r="AM16" s="62"/>
      <c r="AN16" s="349"/>
      <c r="AO16" s="62"/>
      <c r="AP16" s="349"/>
      <c r="AQ16" s="62"/>
      <c r="AR16" s="349"/>
      <c r="AS16" s="61"/>
    </row>
    <row r="17" spans="2:45" x14ac:dyDescent="0.2">
      <c r="B17" s="60"/>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1"/>
    </row>
    <row r="18" spans="2:45" x14ac:dyDescent="0.2">
      <c r="B18" s="60"/>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1"/>
    </row>
    <row r="19" spans="2:45" s="53" customFormat="1" ht="17.100000000000001" customHeight="1" x14ac:dyDescent="0.25">
      <c r="B19" s="63"/>
      <c r="C19" s="338" t="s">
        <v>164</v>
      </c>
      <c r="D19" s="339"/>
      <c r="E19" s="64"/>
      <c r="F19" s="96">
        <v>73.22</v>
      </c>
      <c r="G19" s="64"/>
      <c r="H19" s="96"/>
      <c r="I19" s="64"/>
      <c r="J19" s="96"/>
      <c r="K19" s="64"/>
      <c r="L19" s="96"/>
      <c r="M19" s="64"/>
      <c r="N19" s="96"/>
      <c r="O19" s="64"/>
      <c r="P19" s="96"/>
      <c r="Q19" s="64"/>
      <c r="R19" s="96"/>
      <c r="S19" s="64"/>
      <c r="T19" s="96"/>
      <c r="U19" s="64"/>
      <c r="V19" s="96"/>
      <c r="W19" s="64"/>
      <c r="X19" s="96"/>
      <c r="Y19" s="64"/>
      <c r="Z19" s="96"/>
      <c r="AA19" s="64"/>
      <c r="AB19" s="96"/>
      <c r="AC19" s="64"/>
      <c r="AD19" s="96"/>
      <c r="AE19" s="64"/>
      <c r="AF19" s="96"/>
      <c r="AG19" s="64"/>
      <c r="AH19" s="96"/>
      <c r="AI19" s="64"/>
      <c r="AJ19" s="96"/>
      <c r="AK19" s="64"/>
      <c r="AL19" s="96"/>
      <c r="AM19" s="64"/>
      <c r="AN19" s="96"/>
      <c r="AO19" s="64"/>
      <c r="AP19" s="96"/>
      <c r="AQ19" s="64"/>
      <c r="AR19" s="96"/>
      <c r="AS19" s="65"/>
    </row>
    <row r="20" spans="2:45" s="53" customFormat="1" ht="17.100000000000001" customHeight="1" x14ac:dyDescent="0.25">
      <c r="B20" s="63"/>
      <c r="C20" s="335" t="s">
        <v>99</v>
      </c>
      <c r="D20" s="336"/>
      <c r="E20" s="64"/>
      <c r="F20" s="96">
        <v>9</v>
      </c>
      <c r="G20" s="64"/>
      <c r="H20" s="96"/>
      <c r="I20" s="64"/>
      <c r="J20" s="96"/>
      <c r="K20" s="64"/>
      <c r="L20" s="96"/>
      <c r="M20" s="64"/>
      <c r="N20" s="96"/>
      <c r="O20" s="64"/>
      <c r="P20" s="96"/>
      <c r="Q20" s="64"/>
      <c r="R20" s="96"/>
      <c r="S20" s="64"/>
      <c r="T20" s="96"/>
      <c r="U20" s="64"/>
      <c r="V20" s="96"/>
      <c r="W20" s="64"/>
      <c r="X20" s="96"/>
      <c r="Y20" s="64"/>
      <c r="Z20" s="96"/>
      <c r="AA20" s="64"/>
      <c r="AB20" s="96"/>
      <c r="AC20" s="64"/>
      <c r="AD20" s="96"/>
      <c r="AE20" s="64"/>
      <c r="AF20" s="96"/>
      <c r="AG20" s="64"/>
      <c r="AH20" s="96"/>
      <c r="AI20" s="64"/>
      <c r="AJ20" s="96"/>
      <c r="AK20" s="64"/>
      <c r="AL20" s="96"/>
      <c r="AM20" s="64"/>
      <c r="AN20" s="96"/>
      <c r="AO20" s="64"/>
      <c r="AP20" s="96"/>
      <c r="AQ20" s="64"/>
      <c r="AR20" s="96"/>
      <c r="AS20" s="65"/>
    </row>
    <row r="21" spans="2:45" s="53" customFormat="1" ht="17.100000000000001" customHeight="1" x14ac:dyDescent="0.25">
      <c r="B21" s="63"/>
      <c r="C21" s="335" t="s">
        <v>100</v>
      </c>
      <c r="D21" s="336"/>
      <c r="E21" s="64"/>
      <c r="F21" s="96">
        <v>126.18</v>
      </c>
      <c r="G21" s="64"/>
      <c r="H21" s="96"/>
      <c r="I21" s="64"/>
      <c r="J21" s="96"/>
      <c r="K21" s="64"/>
      <c r="L21" s="96"/>
      <c r="M21" s="64"/>
      <c r="N21" s="96"/>
      <c r="O21" s="64"/>
      <c r="P21" s="96"/>
      <c r="Q21" s="64"/>
      <c r="R21" s="96"/>
      <c r="S21" s="64"/>
      <c r="T21" s="96"/>
      <c r="U21" s="64"/>
      <c r="V21" s="96"/>
      <c r="W21" s="64"/>
      <c r="X21" s="96"/>
      <c r="Y21" s="64"/>
      <c r="Z21" s="96"/>
      <c r="AA21" s="64"/>
      <c r="AB21" s="96"/>
      <c r="AC21" s="64"/>
      <c r="AD21" s="96"/>
      <c r="AE21" s="64"/>
      <c r="AF21" s="96"/>
      <c r="AG21" s="64"/>
      <c r="AH21" s="96"/>
      <c r="AI21" s="64"/>
      <c r="AJ21" s="96"/>
      <c r="AK21" s="64"/>
      <c r="AL21" s="96"/>
      <c r="AM21" s="64"/>
      <c r="AN21" s="96"/>
      <c r="AO21" s="64"/>
      <c r="AP21" s="96"/>
      <c r="AQ21" s="64"/>
      <c r="AR21" s="96"/>
      <c r="AS21" s="65"/>
    </row>
    <row r="22" spans="2:45" x14ac:dyDescent="0.2">
      <c r="B22" s="60"/>
      <c r="C22" s="62"/>
      <c r="D22" s="66"/>
      <c r="E22" s="62"/>
      <c r="F22" s="220"/>
      <c r="G22" s="62"/>
      <c r="H22" s="220"/>
      <c r="I22" s="62"/>
      <c r="J22" s="220"/>
      <c r="K22" s="62"/>
      <c r="L22" s="220"/>
      <c r="M22" s="62"/>
      <c r="N22" s="220"/>
      <c r="O22" s="62"/>
      <c r="P22" s="220"/>
      <c r="Q22" s="62"/>
      <c r="R22" s="220"/>
      <c r="S22" s="62"/>
      <c r="T22" s="220"/>
      <c r="U22" s="62"/>
      <c r="V22" s="220"/>
      <c r="W22" s="62"/>
      <c r="X22" s="220"/>
      <c r="Y22" s="62"/>
      <c r="Z22" s="220"/>
      <c r="AA22" s="62"/>
      <c r="AB22" s="220"/>
      <c r="AC22" s="62"/>
      <c r="AD22" s="220"/>
      <c r="AE22" s="62"/>
      <c r="AF22" s="220"/>
      <c r="AG22" s="62"/>
      <c r="AH22" s="220"/>
      <c r="AI22" s="62"/>
      <c r="AJ22" s="220"/>
      <c r="AK22" s="62"/>
      <c r="AL22" s="220"/>
      <c r="AM22" s="62"/>
      <c r="AN22" s="220"/>
      <c r="AO22" s="62"/>
      <c r="AP22" s="220"/>
      <c r="AQ22" s="62"/>
      <c r="AR22" s="220"/>
      <c r="AS22" s="61"/>
    </row>
    <row r="23" spans="2:45" s="53" customFormat="1" ht="17.100000000000001" customHeight="1" x14ac:dyDescent="0.25">
      <c r="B23" s="63"/>
      <c r="C23" s="335" t="s">
        <v>61</v>
      </c>
      <c r="D23" s="336"/>
      <c r="E23" s="64"/>
      <c r="F23" s="97">
        <v>7344512</v>
      </c>
      <c r="G23" s="64"/>
      <c r="H23" s="97"/>
      <c r="I23" s="64"/>
      <c r="J23" s="97"/>
      <c r="K23" s="64"/>
      <c r="L23" s="97"/>
      <c r="M23" s="64"/>
      <c r="N23" s="97"/>
      <c r="O23" s="64"/>
      <c r="P23" s="97"/>
      <c r="Q23" s="64"/>
      <c r="R23" s="97"/>
      <c r="S23" s="64"/>
      <c r="T23" s="97"/>
      <c r="U23" s="64"/>
      <c r="V23" s="97"/>
      <c r="W23" s="64"/>
      <c r="X23" s="97"/>
      <c r="Y23" s="64"/>
      <c r="Z23" s="97"/>
      <c r="AA23" s="64"/>
      <c r="AB23" s="97"/>
      <c r="AC23" s="64"/>
      <c r="AD23" s="97"/>
      <c r="AE23" s="64"/>
      <c r="AF23" s="97"/>
      <c r="AG23" s="64"/>
      <c r="AH23" s="97"/>
      <c r="AI23" s="64"/>
      <c r="AJ23" s="97"/>
      <c r="AK23" s="64"/>
      <c r="AL23" s="97"/>
      <c r="AM23" s="64"/>
      <c r="AN23" s="97"/>
      <c r="AO23" s="64"/>
      <c r="AP23" s="97"/>
      <c r="AQ23" s="64"/>
      <c r="AR23" s="97"/>
      <c r="AS23" s="65"/>
    </row>
    <row r="24" spans="2:45" s="53" customFormat="1" ht="17.100000000000001" customHeight="1" x14ac:dyDescent="0.25">
      <c r="B24" s="63"/>
      <c r="C24" s="335" t="s">
        <v>98</v>
      </c>
      <c r="D24" s="336"/>
      <c r="E24" s="64"/>
      <c r="F24" s="97">
        <v>7125706</v>
      </c>
      <c r="G24" s="64"/>
      <c r="H24" s="97"/>
      <c r="I24" s="64"/>
      <c r="J24" s="97"/>
      <c r="K24" s="64"/>
      <c r="L24" s="97"/>
      <c r="M24" s="64"/>
      <c r="N24" s="97"/>
      <c r="O24" s="64"/>
      <c r="P24" s="97"/>
      <c r="Q24" s="64"/>
      <c r="R24" s="97"/>
      <c r="S24" s="64"/>
      <c r="T24" s="97"/>
      <c r="U24" s="64"/>
      <c r="V24" s="97"/>
      <c r="W24" s="64"/>
      <c r="X24" s="97"/>
      <c r="Y24" s="64"/>
      <c r="Z24" s="97"/>
      <c r="AA24" s="64"/>
      <c r="AB24" s="97"/>
      <c r="AC24" s="64"/>
      <c r="AD24" s="97"/>
      <c r="AE24" s="64"/>
      <c r="AF24" s="97"/>
      <c r="AG24" s="64"/>
      <c r="AH24" s="97"/>
      <c r="AI24" s="64"/>
      <c r="AJ24" s="97"/>
      <c r="AK24" s="64"/>
      <c r="AL24" s="97"/>
      <c r="AM24" s="64"/>
      <c r="AN24" s="97"/>
      <c r="AO24" s="64"/>
      <c r="AP24" s="97"/>
      <c r="AQ24" s="64"/>
      <c r="AR24" s="97"/>
      <c r="AS24" s="65"/>
    </row>
    <row r="25" spans="2:45" s="53" customFormat="1" ht="17.100000000000001" customHeight="1" x14ac:dyDescent="0.25">
      <c r="B25" s="63"/>
      <c r="C25" s="335" t="s">
        <v>101</v>
      </c>
      <c r="D25" s="336"/>
      <c r="E25" s="64"/>
      <c r="F25" s="97">
        <v>329596</v>
      </c>
      <c r="G25" s="64"/>
      <c r="H25" s="97"/>
      <c r="I25" s="64"/>
      <c r="J25" s="97"/>
      <c r="K25" s="64"/>
      <c r="L25" s="97"/>
      <c r="M25" s="64"/>
      <c r="N25" s="97"/>
      <c r="O25" s="64"/>
      <c r="P25" s="97"/>
      <c r="Q25" s="64"/>
      <c r="R25" s="97"/>
      <c r="S25" s="64"/>
      <c r="T25" s="97"/>
      <c r="U25" s="64"/>
      <c r="V25" s="97"/>
      <c r="W25" s="64"/>
      <c r="X25" s="97"/>
      <c r="Y25" s="64"/>
      <c r="Z25" s="97"/>
      <c r="AA25" s="64"/>
      <c r="AB25" s="97"/>
      <c r="AC25" s="64"/>
      <c r="AD25" s="97"/>
      <c r="AE25" s="64"/>
      <c r="AF25" s="97"/>
      <c r="AG25" s="64"/>
      <c r="AH25" s="97"/>
      <c r="AI25" s="64"/>
      <c r="AJ25" s="97"/>
      <c r="AK25" s="64"/>
      <c r="AL25" s="97"/>
      <c r="AM25" s="64"/>
      <c r="AN25" s="97"/>
      <c r="AO25" s="64"/>
      <c r="AP25" s="97"/>
      <c r="AQ25" s="64"/>
      <c r="AR25" s="97"/>
      <c r="AS25" s="65"/>
    </row>
    <row r="26" spans="2:45" s="53" customFormat="1" ht="17.100000000000001" customHeight="1" x14ac:dyDescent="0.25">
      <c r="B26" s="63"/>
      <c r="C26" s="64"/>
      <c r="D26" s="66"/>
      <c r="E26" s="64"/>
      <c r="F26" s="221"/>
      <c r="G26" s="64"/>
      <c r="H26" s="221"/>
      <c r="I26" s="64"/>
      <c r="J26" s="221"/>
      <c r="K26" s="64"/>
      <c r="L26" s="221"/>
      <c r="M26" s="64"/>
      <c r="N26" s="221"/>
      <c r="O26" s="64"/>
      <c r="P26" s="221"/>
      <c r="Q26" s="64"/>
      <c r="R26" s="221"/>
      <c r="S26" s="64"/>
      <c r="T26" s="221"/>
      <c r="U26" s="64"/>
      <c r="V26" s="221"/>
      <c r="W26" s="64"/>
      <c r="X26" s="221"/>
      <c r="Y26" s="64"/>
      <c r="Z26" s="221"/>
      <c r="AA26" s="64"/>
      <c r="AB26" s="221"/>
      <c r="AC26" s="64"/>
      <c r="AD26" s="221"/>
      <c r="AE26" s="64"/>
      <c r="AF26" s="221"/>
      <c r="AG26" s="64"/>
      <c r="AH26" s="221"/>
      <c r="AI26" s="64"/>
      <c r="AJ26" s="221"/>
      <c r="AK26" s="64"/>
      <c r="AL26" s="221"/>
      <c r="AM26" s="64"/>
      <c r="AN26" s="221"/>
      <c r="AO26" s="64"/>
      <c r="AP26" s="221"/>
      <c r="AQ26" s="64"/>
      <c r="AR26" s="221"/>
      <c r="AS26" s="65"/>
    </row>
    <row r="27" spans="2:45" s="53" customFormat="1" ht="17.100000000000001" customHeight="1" x14ac:dyDescent="0.25">
      <c r="B27" s="63"/>
      <c r="C27" s="337" t="s">
        <v>168</v>
      </c>
      <c r="D27" s="337"/>
      <c r="E27" s="64"/>
      <c r="F27" s="221"/>
      <c r="G27" s="64"/>
      <c r="H27" s="221"/>
      <c r="I27" s="64"/>
      <c r="J27" s="221"/>
      <c r="K27" s="64"/>
      <c r="L27" s="221"/>
      <c r="M27" s="64"/>
      <c r="N27" s="221"/>
      <c r="O27" s="64"/>
      <c r="P27" s="221"/>
      <c r="Q27" s="64"/>
      <c r="R27" s="221"/>
      <c r="S27" s="64"/>
      <c r="T27" s="221"/>
      <c r="U27" s="64"/>
      <c r="V27" s="221"/>
      <c r="W27" s="64"/>
      <c r="X27" s="221"/>
      <c r="Y27" s="64"/>
      <c r="Z27" s="221"/>
      <c r="AA27" s="64"/>
      <c r="AB27" s="221"/>
      <c r="AC27" s="64"/>
      <c r="AD27" s="221"/>
      <c r="AE27" s="64"/>
      <c r="AF27" s="221"/>
      <c r="AG27" s="64"/>
      <c r="AH27" s="221"/>
      <c r="AI27" s="64"/>
      <c r="AJ27" s="221"/>
      <c r="AK27" s="64"/>
      <c r="AL27" s="221"/>
      <c r="AM27" s="64"/>
      <c r="AN27" s="221"/>
      <c r="AO27" s="64"/>
      <c r="AP27" s="221"/>
      <c r="AQ27" s="64"/>
      <c r="AR27" s="221"/>
      <c r="AS27" s="65"/>
    </row>
    <row r="28" spans="2:45" s="53" customFormat="1" ht="17.100000000000001" customHeight="1" x14ac:dyDescent="0.25">
      <c r="B28" s="63"/>
      <c r="C28" s="335" t="s">
        <v>166</v>
      </c>
      <c r="D28" s="336"/>
      <c r="E28" s="64"/>
      <c r="F28" s="98">
        <v>50</v>
      </c>
      <c r="G28" s="64"/>
      <c r="H28" s="98"/>
      <c r="I28" s="64"/>
      <c r="J28" s="98"/>
      <c r="K28" s="64"/>
      <c r="L28" s="98"/>
      <c r="M28" s="64"/>
      <c r="N28" s="98"/>
      <c r="O28" s="64"/>
      <c r="P28" s="98"/>
      <c r="Q28" s="64"/>
      <c r="R28" s="98"/>
      <c r="S28" s="64"/>
      <c r="T28" s="98"/>
      <c r="U28" s="64"/>
      <c r="V28" s="98"/>
      <c r="W28" s="64"/>
      <c r="X28" s="98"/>
      <c r="Y28" s="64"/>
      <c r="Z28" s="98"/>
      <c r="AA28" s="64"/>
      <c r="AB28" s="98"/>
      <c r="AC28" s="64"/>
      <c r="AD28" s="98"/>
      <c r="AE28" s="64"/>
      <c r="AF28" s="98"/>
      <c r="AG28" s="64"/>
      <c r="AH28" s="98"/>
      <c r="AI28" s="64"/>
      <c r="AJ28" s="98"/>
      <c r="AK28" s="64"/>
      <c r="AL28" s="98"/>
      <c r="AM28" s="64"/>
      <c r="AN28" s="98"/>
      <c r="AO28" s="64"/>
      <c r="AP28" s="98"/>
      <c r="AQ28" s="64"/>
      <c r="AR28" s="98"/>
      <c r="AS28" s="65"/>
    </row>
    <row r="29" spans="2:45" s="53" customFormat="1" ht="17.100000000000001" customHeight="1" x14ac:dyDescent="0.25">
      <c r="B29" s="63"/>
      <c r="C29" s="335" t="s">
        <v>171</v>
      </c>
      <c r="D29" s="336"/>
      <c r="E29" s="64"/>
      <c r="F29" s="98">
        <v>2768</v>
      </c>
      <c r="G29" s="64"/>
      <c r="H29" s="98"/>
      <c r="I29" s="64"/>
      <c r="J29" s="98"/>
      <c r="K29" s="64"/>
      <c r="L29" s="98"/>
      <c r="M29" s="64"/>
      <c r="N29" s="98"/>
      <c r="O29" s="64"/>
      <c r="P29" s="98"/>
      <c r="Q29" s="64"/>
      <c r="R29" s="98"/>
      <c r="S29" s="64"/>
      <c r="T29" s="98"/>
      <c r="U29" s="64"/>
      <c r="V29" s="98"/>
      <c r="W29" s="64"/>
      <c r="X29" s="98"/>
      <c r="Y29" s="64"/>
      <c r="Z29" s="98"/>
      <c r="AA29" s="64"/>
      <c r="AB29" s="98"/>
      <c r="AC29" s="64"/>
      <c r="AD29" s="98"/>
      <c r="AE29" s="64"/>
      <c r="AF29" s="98"/>
      <c r="AG29" s="64"/>
      <c r="AH29" s="98"/>
      <c r="AI29" s="64"/>
      <c r="AJ29" s="98"/>
      <c r="AK29" s="64"/>
      <c r="AL29" s="98"/>
      <c r="AM29" s="64"/>
      <c r="AN29" s="98"/>
      <c r="AO29" s="64"/>
      <c r="AP29" s="98"/>
      <c r="AQ29" s="64"/>
      <c r="AR29" s="98"/>
      <c r="AS29" s="65"/>
    </row>
    <row r="30" spans="2:45" s="53" customFormat="1" ht="17.100000000000001" customHeight="1" x14ac:dyDescent="0.25">
      <c r="B30" s="63"/>
      <c r="C30" s="64"/>
      <c r="D30" s="152" t="str">
        <f>IFERROR(IF((F29/(F28*F19))&lt;0.5,"Resulting teacher contact ratio is low. Total lessons taught may be incorrectly calculated as too low",IF((F29/(F28*F19))&gt;1,"Resulting teacher contact ratio is greater than 1. Total lessons taught is too high","")),"")</f>
        <v/>
      </c>
      <c r="E30" s="152"/>
      <c r="F30" s="222"/>
      <c r="G30" s="152"/>
      <c r="H30" s="222"/>
      <c r="I30" s="152"/>
      <c r="J30" s="222"/>
      <c r="K30" s="152"/>
      <c r="L30" s="222"/>
      <c r="M30" s="152"/>
      <c r="N30" s="222"/>
      <c r="O30" s="152"/>
      <c r="P30" s="222"/>
      <c r="Q30" s="152"/>
      <c r="R30" s="222"/>
      <c r="S30" s="152"/>
      <c r="T30" s="222"/>
      <c r="U30" s="152"/>
      <c r="V30" s="222"/>
      <c r="W30" s="152"/>
      <c r="X30" s="222"/>
      <c r="Y30" s="152"/>
      <c r="Z30" s="222"/>
      <c r="AA30" s="152"/>
      <c r="AB30" s="222"/>
      <c r="AC30" s="152"/>
      <c r="AD30" s="222"/>
      <c r="AE30" s="152"/>
      <c r="AF30" s="222"/>
      <c r="AG30" s="152"/>
      <c r="AH30" s="222"/>
      <c r="AI30" s="152"/>
      <c r="AJ30" s="222"/>
      <c r="AK30" s="152"/>
      <c r="AL30" s="222"/>
      <c r="AM30" s="152"/>
      <c r="AN30" s="222"/>
      <c r="AO30" s="152"/>
      <c r="AP30" s="222"/>
      <c r="AQ30" s="152"/>
      <c r="AR30" s="222"/>
      <c r="AS30" s="65"/>
    </row>
    <row r="31" spans="2:45" s="53" customFormat="1" ht="17.100000000000001" customHeight="1" x14ac:dyDescent="0.25">
      <c r="B31" s="63"/>
      <c r="C31" s="337" t="s">
        <v>169</v>
      </c>
      <c r="D31" s="337"/>
      <c r="E31" s="64"/>
      <c r="F31" s="221"/>
      <c r="G31" s="64"/>
      <c r="H31" s="221"/>
      <c r="I31" s="64"/>
      <c r="J31" s="221"/>
      <c r="K31" s="64"/>
      <c r="L31" s="221"/>
      <c r="M31" s="64"/>
      <c r="N31" s="221"/>
      <c r="O31" s="64"/>
      <c r="P31" s="221"/>
      <c r="Q31" s="64"/>
      <c r="R31" s="221"/>
      <c r="S31" s="64"/>
      <c r="T31" s="221"/>
      <c r="U31" s="64"/>
      <c r="V31" s="221"/>
      <c r="W31" s="64"/>
      <c r="X31" s="221"/>
      <c r="Y31" s="64"/>
      <c r="Z31" s="221"/>
      <c r="AA31" s="64"/>
      <c r="AB31" s="221"/>
      <c r="AC31" s="64"/>
      <c r="AD31" s="221"/>
      <c r="AE31" s="64"/>
      <c r="AF31" s="221"/>
      <c r="AG31" s="64"/>
      <c r="AH31" s="221"/>
      <c r="AI31" s="64"/>
      <c r="AJ31" s="221"/>
      <c r="AK31" s="64"/>
      <c r="AL31" s="221"/>
      <c r="AM31" s="64"/>
      <c r="AN31" s="221"/>
      <c r="AO31" s="64"/>
      <c r="AP31" s="221"/>
      <c r="AQ31" s="64"/>
      <c r="AR31" s="221"/>
      <c r="AS31" s="65"/>
    </row>
    <row r="32" spans="2:45" s="53" customFormat="1" ht="17.100000000000001" customHeight="1" x14ac:dyDescent="0.25">
      <c r="B32" s="63"/>
      <c r="C32" s="335" t="s">
        <v>167</v>
      </c>
      <c r="D32" s="336"/>
      <c r="E32" s="64"/>
      <c r="F32" s="98"/>
      <c r="G32" s="64"/>
      <c r="H32" s="98"/>
      <c r="I32" s="64"/>
      <c r="J32" s="98"/>
      <c r="K32" s="64"/>
      <c r="L32" s="98"/>
      <c r="M32" s="64"/>
      <c r="N32" s="98"/>
      <c r="O32" s="64"/>
      <c r="P32" s="98"/>
      <c r="Q32" s="64"/>
      <c r="R32" s="98"/>
      <c r="S32" s="64"/>
      <c r="T32" s="98"/>
      <c r="U32" s="64"/>
      <c r="V32" s="98"/>
      <c r="W32" s="64"/>
      <c r="X32" s="98"/>
      <c r="Y32" s="64"/>
      <c r="Z32" s="98"/>
      <c r="AA32" s="64"/>
      <c r="AB32" s="98"/>
      <c r="AC32" s="64"/>
      <c r="AD32" s="98"/>
      <c r="AE32" s="64"/>
      <c r="AF32" s="98"/>
      <c r="AG32" s="64"/>
      <c r="AH32" s="98"/>
      <c r="AI32" s="64"/>
      <c r="AJ32" s="98"/>
      <c r="AK32" s="64"/>
      <c r="AL32" s="98"/>
      <c r="AM32" s="64"/>
      <c r="AN32" s="98"/>
      <c r="AO32" s="64"/>
      <c r="AP32" s="98"/>
      <c r="AQ32" s="64"/>
      <c r="AR32" s="98"/>
      <c r="AS32" s="65"/>
    </row>
    <row r="33" spans="2:45" s="53" customFormat="1" ht="17.100000000000001" customHeight="1" x14ac:dyDescent="0.25">
      <c r="B33" s="63"/>
      <c r="C33" s="72"/>
      <c r="D33" s="66"/>
      <c r="E33" s="64"/>
      <c r="F33" s="221"/>
      <c r="G33" s="64"/>
      <c r="H33" s="221"/>
      <c r="I33" s="64"/>
      <c r="J33" s="221"/>
      <c r="K33" s="64"/>
      <c r="L33" s="221"/>
      <c r="M33" s="64"/>
      <c r="N33" s="221"/>
      <c r="O33" s="64"/>
      <c r="P33" s="221"/>
      <c r="Q33" s="64"/>
      <c r="R33" s="221"/>
      <c r="S33" s="64"/>
      <c r="T33" s="221"/>
      <c r="U33" s="64"/>
      <c r="V33" s="221"/>
      <c r="W33" s="64"/>
      <c r="X33" s="221"/>
      <c r="Y33" s="64"/>
      <c r="Z33" s="221"/>
      <c r="AA33" s="64"/>
      <c r="AB33" s="221"/>
      <c r="AC33" s="64"/>
      <c r="AD33" s="221"/>
      <c r="AE33" s="64"/>
      <c r="AF33" s="221"/>
      <c r="AG33" s="64"/>
      <c r="AH33" s="221"/>
      <c r="AI33" s="64"/>
      <c r="AJ33" s="221"/>
      <c r="AK33" s="64"/>
      <c r="AL33" s="221"/>
      <c r="AM33" s="64"/>
      <c r="AN33" s="221"/>
      <c r="AO33" s="64"/>
      <c r="AP33" s="221"/>
      <c r="AQ33" s="64"/>
      <c r="AR33" s="221"/>
      <c r="AS33" s="65"/>
    </row>
    <row r="34" spans="2:45" s="53" customFormat="1" ht="17.100000000000001" customHeight="1" x14ac:dyDescent="0.25">
      <c r="B34" s="63"/>
      <c r="C34" s="56" t="s">
        <v>185</v>
      </c>
      <c r="D34" s="54" t="s">
        <v>2</v>
      </c>
      <c r="E34" s="64"/>
      <c r="F34" s="97">
        <v>4370608</v>
      </c>
      <c r="G34" s="64"/>
      <c r="H34" s="97"/>
      <c r="I34" s="64"/>
      <c r="J34" s="97"/>
      <c r="K34" s="64"/>
      <c r="L34" s="97"/>
      <c r="M34" s="64"/>
      <c r="N34" s="97"/>
      <c r="O34" s="64"/>
      <c r="P34" s="97"/>
      <c r="Q34" s="64"/>
      <c r="R34" s="97"/>
      <c r="S34" s="64"/>
      <c r="T34" s="97"/>
      <c r="U34" s="64"/>
      <c r="V34" s="97"/>
      <c r="W34" s="64"/>
      <c r="X34" s="97"/>
      <c r="Y34" s="64"/>
      <c r="Z34" s="97"/>
      <c r="AA34" s="64"/>
      <c r="AB34" s="97"/>
      <c r="AC34" s="64"/>
      <c r="AD34" s="97"/>
      <c r="AE34" s="64"/>
      <c r="AF34" s="97"/>
      <c r="AG34" s="64"/>
      <c r="AH34" s="97"/>
      <c r="AI34" s="64"/>
      <c r="AJ34" s="97"/>
      <c r="AK34" s="64"/>
      <c r="AL34" s="97"/>
      <c r="AM34" s="64"/>
      <c r="AN34" s="97"/>
      <c r="AO34" s="64"/>
      <c r="AP34" s="97"/>
      <c r="AQ34" s="64"/>
      <c r="AR34" s="97"/>
      <c r="AS34" s="65"/>
    </row>
    <row r="35" spans="2:45" s="53" customFormat="1" ht="17.100000000000001" customHeight="1" x14ac:dyDescent="0.25">
      <c r="B35" s="63"/>
      <c r="C35" s="56" t="s">
        <v>186</v>
      </c>
      <c r="D35" s="54" t="s">
        <v>63</v>
      </c>
      <c r="E35" s="64"/>
      <c r="F35" s="97">
        <v>20000</v>
      </c>
      <c r="G35" s="64"/>
      <c r="H35" s="97"/>
      <c r="I35" s="64"/>
      <c r="J35" s="97"/>
      <c r="K35" s="64"/>
      <c r="L35" s="97"/>
      <c r="M35" s="64"/>
      <c r="N35" s="97"/>
      <c r="O35" s="64"/>
      <c r="P35" s="97"/>
      <c r="Q35" s="64"/>
      <c r="R35" s="97"/>
      <c r="S35" s="64"/>
      <c r="T35" s="97"/>
      <c r="U35" s="64"/>
      <c r="V35" s="97"/>
      <c r="W35" s="64"/>
      <c r="X35" s="97"/>
      <c r="Y35" s="64"/>
      <c r="Z35" s="97"/>
      <c r="AA35" s="64"/>
      <c r="AB35" s="97"/>
      <c r="AC35" s="64"/>
      <c r="AD35" s="97"/>
      <c r="AE35" s="64"/>
      <c r="AF35" s="97"/>
      <c r="AG35" s="64"/>
      <c r="AH35" s="97"/>
      <c r="AI35" s="64"/>
      <c r="AJ35" s="97"/>
      <c r="AK35" s="64"/>
      <c r="AL35" s="97"/>
      <c r="AM35" s="64"/>
      <c r="AN35" s="97"/>
      <c r="AO35" s="64"/>
      <c r="AP35" s="97"/>
      <c r="AQ35" s="64"/>
      <c r="AR35" s="97"/>
      <c r="AS35" s="65"/>
    </row>
    <row r="36" spans="2:45" s="53" customFormat="1" ht="17.100000000000001" customHeight="1" x14ac:dyDescent="0.25">
      <c r="B36" s="63"/>
      <c r="C36" s="56" t="s">
        <v>187</v>
      </c>
      <c r="D36" s="54" t="s">
        <v>3</v>
      </c>
      <c r="E36" s="64"/>
      <c r="F36" s="97">
        <v>548524</v>
      </c>
      <c r="G36" s="64"/>
      <c r="H36" s="97"/>
      <c r="I36" s="64"/>
      <c r="J36" s="97"/>
      <c r="K36" s="64"/>
      <c r="L36" s="97"/>
      <c r="M36" s="64"/>
      <c r="N36" s="97"/>
      <c r="O36" s="64"/>
      <c r="P36" s="97"/>
      <c r="Q36" s="64"/>
      <c r="R36" s="97"/>
      <c r="S36" s="64"/>
      <c r="T36" s="97"/>
      <c r="U36" s="64"/>
      <c r="V36" s="97"/>
      <c r="W36" s="64"/>
      <c r="X36" s="97"/>
      <c r="Y36" s="64"/>
      <c r="Z36" s="97"/>
      <c r="AA36" s="64"/>
      <c r="AB36" s="97"/>
      <c r="AC36" s="64"/>
      <c r="AD36" s="97"/>
      <c r="AE36" s="64"/>
      <c r="AF36" s="97"/>
      <c r="AG36" s="64"/>
      <c r="AH36" s="97"/>
      <c r="AI36" s="64"/>
      <c r="AJ36" s="97"/>
      <c r="AK36" s="64"/>
      <c r="AL36" s="97"/>
      <c r="AM36" s="64"/>
      <c r="AN36" s="97"/>
      <c r="AO36" s="64"/>
      <c r="AP36" s="97"/>
      <c r="AQ36" s="64"/>
      <c r="AR36" s="97"/>
      <c r="AS36" s="65"/>
    </row>
    <row r="37" spans="2:45" s="53" customFormat="1" ht="17.100000000000001" customHeight="1" x14ac:dyDescent="0.25">
      <c r="B37" s="63"/>
      <c r="C37" s="56" t="s">
        <v>188</v>
      </c>
      <c r="D37" s="54" t="s">
        <v>5</v>
      </c>
      <c r="E37" s="64"/>
      <c r="F37" s="97">
        <v>729076</v>
      </c>
      <c r="G37" s="64"/>
      <c r="H37" s="97"/>
      <c r="I37" s="64"/>
      <c r="J37" s="97"/>
      <c r="K37" s="64"/>
      <c r="L37" s="97"/>
      <c r="M37" s="64"/>
      <c r="N37" s="97"/>
      <c r="O37" s="64"/>
      <c r="P37" s="97"/>
      <c r="Q37" s="64"/>
      <c r="R37" s="97"/>
      <c r="S37" s="64"/>
      <c r="T37" s="97"/>
      <c r="U37" s="64"/>
      <c r="V37" s="97"/>
      <c r="W37" s="64"/>
      <c r="X37" s="97"/>
      <c r="Y37" s="64"/>
      <c r="Z37" s="97"/>
      <c r="AA37" s="64"/>
      <c r="AB37" s="97"/>
      <c r="AC37" s="64"/>
      <c r="AD37" s="97"/>
      <c r="AE37" s="64"/>
      <c r="AF37" s="97"/>
      <c r="AG37" s="64"/>
      <c r="AH37" s="97"/>
      <c r="AI37" s="64"/>
      <c r="AJ37" s="97"/>
      <c r="AK37" s="64"/>
      <c r="AL37" s="97"/>
      <c r="AM37" s="64"/>
      <c r="AN37" s="97"/>
      <c r="AO37" s="64"/>
      <c r="AP37" s="97"/>
      <c r="AQ37" s="64"/>
      <c r="AR37" s="97"/>
      <c r="AS37" s="65"/>
    </row>
    <row r="38" spans="2:45" s="53" customFormat="1" ht="17.100000000000001" customHeight="1" x14ac:dyDescent="0.25">
      <c r="B38" s="63"/>
      <c r="C38" s="56" t="s">
        <v>189</v>
      </c>
      <c r="D38" s="54" t="s">
        <v>64</v>
      </c>
      <c r="E38" s="64"/>
      <c r="F38" s="97">
        <v>157423</v>
      </c>
      <c r="G38" s="64"/>
      <c r="H38" s="97"/>
      <c r="I38" s="64"/>
      <c r="J38" s="97"/>
      <c r="K38" s="64"/>
      <c r="L38" s="97"/>
      <c r="M38" s="64"/>
      <c r="N38" s="97"/>
      <c r="O38" s="64"/>
      <c r="P38" s="97"/>
      <c r="Q38" s="64"/>
      <c r="R38" s="97"/>
      <c r="S38" s="64"/>
      <c r="T38" s="97"/>
      <c r="U38" s="64"/>
      <c r="V38" s="97"/>
      <c r="W38" s="64"/>
      <c r="X38" s="97"/>
      <c r="Y38" s="64"/>
      <c r="Z38" s="97"/>
      <c r="AA38" s="64"/>
      <c r="AB38" s="97"/>
      <c r="AC38" s="64"/>
      <c r="AD38" s="97"/>
      <c r="AE38" s="64"/>
      <c r="AF38" s="97"/>
      <c r="AG38" s="64"/>
      <c r="AH38" s="97"/>
      <c r="AI38" s="64"/>
      <c r="AJ38" s="97"/>
      <c r="AK38" s="64"/>
      <c r="AL38" s="97"/>
      <c r="AM38" s="64"/>
      <c r="AN38" s="97"/>
      <c r="AO38" s="64"/>
      <c r="AP38" s="97"/>
      <c r="AQ38" s="64"/>
      <c r="AR38" s="97"/>
      <c r="AS38" s="65"/>
    </row>
    <row r="39" spans="2:45" s="53" customFormat="1" ht="17.100000000000001" customHeight="1" x14ac:dyDescent="0.25">
      <c r="B39" s="63"/>
      <c r="C39" s="56" t="s">
        <v>190</v>
      </c>
      <c r="D39" s="54" t="s">
        <v>65</v>
      </c>
      <c r="E39" s="64"/>
      <c r="F39" s="97"/>
      <c r="G39" s="64"/>
      <c r="H39" s="97"/>
      <c r="I39" s="64"/>
      <c r="J39" s="97"/>
      <c r="K39" s="64"/>
      <c r="L39" s="97"/>
      <c r="M39" s="64"/>
      <c r="N39" s="97"/>
      <c r="O39" s="64"/>
      <c r="P39" s="97"/>
      <c r="Q39" s="64"/>
      <c r="R39" s="97"/>
      <c r="S39" s="64"/>
      <c r="T39" s="97"/>
      <c r="U39" s="64"/>
      <c r="V39" s="97"/>
      <c r="W39" s="64"/>
      <c r="X39" s="97"/>
      <c r="Y39" s="64"/>
      <c r="Z39" s="97"/>
      <c r="AA39" s="64"/>
      <c r="AB39" s="97"/>
      <c r="AC39" s="64"/>
      <c r="AD39" s="97"/>
      <c r="AE39" s="64"/>
      <c r="AF39" s="97"/>
      <c r="AG39" s="64"/>
      <c r="AH39" s="97"/>
      <c r="AI39" s="64"/>
      <c r="AJ39" s="97"/>
      <c r="AK39" s="64"/>
      <c r="AL39" s="97"/>
      <c r="AM39" s="64"/>
      <c r="AN39" s="97"/>
      <c r="AO39" s="64"/>
      <c r="AP39" s="97"/>
      <c r="AQ39" s="64"/>
      <c r="AR39" s="97"/>
      <c r="AS39" s="65"/>
    </row>
    <row r="40" spans="2:45" s="53" customFormat="1" ht="17.100000000000001" customHeight="1" x14ac:dyDescent="0.25">
      <c r="B40" s="63"/>
      <c r="C40" s="56" t="s">
        <v>191</v>
      </c>
      <c r="D40" s="54" t="s">
        <v>66</v>
      </c>
      <c r="E40" s="64"/>
      <c r="F40" s="97">
        <v>224468</v>
      </c>
      <c r="G40" s="64"/>
      <c r="H40" s="97"/>
      <c r="I40" s="64"/>
      <c r="J40" s="97"/>
      <c r="K40" s="64"/>
      <c r="L40" s="97"/>
      <c r="M40" s="64"/>
      <c r="N40" s="97"/>
      <c r="O40" s="64"/>
      <c r="P40" s="97"/>
      <c r="Q40" s="64"/>
      <c r="R40" s="97"/>
      <c r="S40" s="64"/>
      <c r="T40" s="97"/>
      <c r="U40" s="64"/>
      <c r="V40" s="97"/>
      <c r="W40" s="64"/>
      <c r="X40" s="97"/>
      <c r="Y40" s="64"/>
      <c r="Z40" s="97"/>
      <c r="AA40" s="64"/>
      <c r="AB40" s="97"/>
      <c r="AC40" s="64"/>
      <c r="AD40" s="97"/>
      <c r="AE40" s="64"/>
      <c r="AF40" s="97"/>
      <c r="AG40" s="64"/>
      <c r="AH40" s="97"/>
      <c r="AI40" s="64"/>
      <c r="AJ40" s="97"/>
      <c r="AK40" s="64"/>
      <c r="AL40" s="97"/>
      <c r="AM40" s="64"/>
      <c r="AN40" s="97"/>
      <c r="AO40" s="64"/>
      <c r="AP40" s="97"/>
      <c r="AQ40" s="64"/>
      <c r="AR40" s="97"/>
      <c r="AS40" s="65"/>
    </row>
    <row r="41" spans="2:45" s="53" customFormat="1" ht="17.100000000000001" customHeight="1" x14ac:dyDescent="0.25">
      <c r="B41" s="63"/>
      <c r="C41" s="56" t="s">
        <v>192</v>
      </c>
      <c r="D41" s="54" t="s">
        <v>67</v>
      </c>
      <c r="E41" s="64"/>
      <c r="F41" s="97">
        <v>28000</v>
      </c>
      <c r="G41" s="64"/>
      <c r="H41" s="97"/>
      <c r="I41" s="64"/>
      <c r="J41" s="97"/>
      <c r="K41" s="64"/>
      <c r="L41" s="97"/>
      <c r="M41" s="64"/>
      <c r="N41" s="97"/>
      <c r="O41" s="64"/>
      <c r="P41" s="97"/>
      <c r="Q41" s="64"/>
      <c r="R41" s="97"/>
      <c r="S41" s="64"/>
      <c r="T41" s="97"/>
      <c r="U41" s="64"/>
      <c r="V41" s="97"/>
      <c r="W41" s="64"/>
      <c r="X41" s="97"/>
      <c r="Y41" s="64"/>
      <c r="Z41" s="97"/>
      <c r="AA41" s="64"/>
      <c r="AB41" s="97"/>
      <c r="AC41" s="64"/>
      <c r="AD41" s="97"/>
      <c r="AE41" s="64"/>
      <c r="AF41" s="97"/>
      <c r="AG41" s="64"/>
      <c r="AH41" s="97"/>
      <c r="AI41" s="64"/>
      <c r="AJ41" s="97"/>
      <c r="AK41" s="64"/>
      <c r="AL41" s="97"/>
      <c r="AM41" s="64"/>
      <c r="AN41" s="97"/>
      <c r="AO41" s="64"/>
      <c r="AP41" s="97"/>
      <c r="AQ41" s="64"/>
      <c r="AR41" s="97"/>
      <c r="AS41" s="65"/>
    </row>
    <row r="42" spans="2:45" s="53" customFormat="1" ht="17.100000000000001" customHeight="1" x14ac:dyDescent="0.25">
      <c r="B42" s="63"/>
      <c r="C42" s="56" t="s">
        <v>193</v>
      </c>
      <c r="D42" s="54" t="s">
        <v>68</v>
      </c>
      <c r="E42" s="64"/>
      <c r="F42" s="97">
        <v>12000</v>
      </c>
      <c r="G42" s="64"/>
      <c r="H42" s="97"/>
      <c r="I42" s="64"/>
      <c r="J42" s="97"/>
      <c r="K42" s="64"/>
      <c r="L42" s="97"/>
      <c r="M42" s="64"/>
      <c r="N42" s="97"/>
      <c r="O42" s="64"/>
      <c r="P42" s="97"/>
      <c r="Q42" s="64"/>
      <c r="R42" s="97"/>
      <c r="S42" s="64"/>
      <c r="T42" s="97"/>
      <c r="U42" s="64"/>
      <c r="V42" s="97"/>
      <c r="W42" s="64"/>
      <c r="X42" s="97"/>
      <c r="Y42" s="64"/>
      <c r="Z42" s="97"/>
      <c r="AA42" s="64"/>
      <c r="AB42" s="97"/>
      <c r="AC42" s="64"/>
      <c r="AD42" s="97"/>
      <c r="AE42" s="64"/>
      <c r="AF42" s="97"/>
      <c r="AG42" s="64"/>
      <c r="AH42" s="97"/>
      <c r="AI42" s="64"/>
      <c r="AJ42" s="97"/>
      <c r="AK42" s="64"/>
      <c r="AL42" s="97"/>
      <c r="AM42" s="64"/>
      <c r="AN42" s="97"/>
      <c r="AO42" s="64"/>
      <c r="AP42" s="97"/>
      <c r="AQ42" s="64"/>
      <c r="AR42" s="97"/>
      <c r="AS42" s="65"/>
    </row>
    <row r="43" spans="2:45" s="53" customFormat="1" ht="17.100000000000001" customHeight="1" x14ac:dyDescent="0.25">
      <c r="B43" s="63"/>
      <c r="C43" s="56" t="s">
        <v>69</v>
      </c>
      <c r="D43" s="54" t="s">
        <v>70</v>
      </c>
      <c r="E43" s="64"/>
      <c r="F43" s="97">
        <v>0</v>
      </c>
      <c r="G43" s="64"/>
      <c r="H43" s="97"/>
      <c r="I43" s="64"/>
      <c r="J43" s="97"/>
      <c r="K43" s="64"/>
      <c r="L43" s="97"/>
      <c r="M43" s="64"/>
      <c r="N43" s="97"/>
      <c r="O43" s="64"/>
      <c r="P43" s="97"/>
      <c r="Q43" s="64"/>
      <c r="R43" s="97"/>
      <c r="S43" s="64"/>
      <c r="T43" s="97"/>
      <c r="U43" s="64"/>
      <c r="V43" s="97"/>
      <c r="W43" s="64"/>
      <c r="X43" s="97"/>
      <c r="Y43" s="64"/>
      <c r="Z43" s="97"/>
      <c r="AA43" s="64"/>
      <c r="AB43" s="97"/>
      <c r="AC43" s="64"/>
      <c r="AD43" s="97"/>
      <c r="AE43" s="64"/>
      <c r="AF43" s="97"/>
      <c r="AG43" s="64"/>
      <c r="AH43" s="97"/>
      <c r="AI43" s="64"/>
      <c r="AJ43" s="97"/>
      <c r="AK43" s="64"/>
      <c r="AL43" s="97"/>
      <c r="AM43" s="64"/>
      <c r="AN43" s="97"/>
      <c r="AO43" s="64"/>
      <c r="AP43" s="97"/>
      <c r="AQ43" s="64"/>
      <c r="AR43" s="97"/>
      <c r="AS43" s="65"/>
    </row>
    <row r="44" spans="2:45" s="53" customFormat="1" ht="17.100000000000001" customHeight="1" x14ac:dyDescent="0.25">
      <c r="B44" s="63"/>
      <c r="C44" s="56" t="s">
        <v>71</v>
      </c>
      <c r="D44" s="54" t="s">
        <v>72</v>
      </c>
      <c r="E44" s="64"/>
      <c r="F44" s="97"/>
      <c r="G44" s="64"/>
      <c r="H44" s="97"/>
      <c r="I44" s="64"/>
      <c r="J44" s="97"/>
      <c r="K44" s="64"/>
      <c r="L44" s="97"/>
      <c r="M44" s="64"/>
      <c r="N44" s="97"/>
      <c r="O44" s="64"/>
      <c r="P44" s="97"/>
      <c r="Q44" s="64"/>
      <c r="R44" s="97"/>
      <c r="S44" s="64"/>
      <c r="T44" s="97"/>
      <c r="U44" s="64"/>
      <c r="V44" s="97"/>
      <c r="W44" s="64"/>
      <c r="X44" s="97"/>
      <c r="Y44" s="64"/>
      <c r="Z44" s="97"/>
      <c r="AA44" s="64"/>
      <c r="AB44" s="97"/>
      <c r="AC44" s="64"/>
      <c r="AD44" s="97"/>
      <c r="AE44" s="64"/>
      <c r="AF44" s="97"/>
      <c r="AG44" s="64"/>
      <c r="AH44" s="97"/>
      <c r="AI44" s="64"/>
      <c r="AJ44" s="97"/>
      <c r="AK44" s="64"/>
      <c r="AL44" s="97"/>
      <c r="AM44" s="64"/>
      <c r="AN44" s="97"/>
      <c r="AO44" s="64"/>
      <c r="AP44" s="97"/>
      <c r="AQ44" s="64"/>
      <c r="AR44" s="97"/>
      <c r="AS44" s="65"/>
    </row>
    <row r="45" spans="2:45" s="53" customFormat="1" ht="17.100000000000001" customHeight="1" x14ac:dyDescent="0.25">
      <c r="B45" s="63"/>
      <c r="C45" s="56" t="s">
        <v>73</v>
      </c>
      <c r="D45" s="54" t="s">
        <v>194</v>
      </c>
      <c r="E45" s="64"/>
      <c r="F45" s="97">
        <v>54000</v>
      </c>
      <c r="G45" s="64"/>
      <c r="H45" s="97"/>
      <c r="I45" s="64"/>
      <c r="J45" s="97"/>
      <c r="K45" s="64"/>
      <c r="L45" s="97"/>
      <c r="M45" s="64"/>
      <c r="N45" s="97"/>
      <c r="O45" s="64"/>
      <c r="P45" s="97"/>
      <c r="Q45" s="64"/>
      <c r="R45" s="97"/>
      <c r="S45" s="64"/>
      <c r="T45" s="97"/>
      <c r="U45" s="64"/>
      <c r="V45" s="97"/>
      <c r="W45" s="64"/>
      <c r="X45" s="97"/>
      <c r="Y45" s="64"/>
      <c r="Z45" s="97"/>
      <c r="AA45" s="64"/>
      <c r="AB45" s="97"/>
      <c r="AC45" s="64"/>
      <c r="AD45" s="97"/>
      <c r="AE45" s="64"/>
      <c r="AF45" s="97"/>
      <c r="AG45" s="64"/>
      <c r="AH45" s="97"/>
      <c r="AI45" s="64"/>
      <c r="AJ45" s="97"/>
      <c r="AK45" s="64"/>
      <c r="AL45" s="97"/>
      <c r="AM45" s="64"/>
      <c r="AN45" s="97"/>
      <c r="AO45" s="64"/>
      <c r="AP45" s="97"/>
      <c r="AQ45" s="64"/>
      <c r="AR45" s="97"/>
      <c r="AS45" s="65"/>
    </row>
    <row r="46" spans="2:45" s="53" customFormat="1" ht="17.100000000000001" customHeight="1" x14ac:dyDescent="0.25">
      <c r="B46" s="63"/>
      <c r="C46" s="56" t="s">
        <v>74</v>
      </c>
      <c r="D46" s="54" t="s">
        <v>75</v>
      </c>
      <c r="E46" s="64"/>
      <c r="F46" s="97">
        <v>175600</v>
      </c>
      <c r="G46" s="64"/>
      <c r="H46" s="97"/>
      <c r="I46" s="64"/>
      <c r="J46" s="97"/>
      <c r="K46" s="64"/>
      <c r="L46" s="97"/>
      <c r="M46" s="64"/>
      <c r="N46" s="97"/>
      <c r="O46" s="64"/>
      <c r="P46" s="97"/>
      <c r="Q46" s="64"/>
      <c r="R46" s="97"/>
      <c r="S46" s="64"/>
      <c r="T46" s="97"/>
      <c r="U46" s="64"/>
      <c r="V46" s="97"/>
      <c r="W46" s="64"/>
      <c r="X46" s="97"/>
      <c r="Y46" s="64"/>
      <c r="Z46" s="97"/>
      <c r="AA46" s="64"/>
      <c r="AB46" s="97"/>
      <c r="AC46" s="64"/>
      <c r="AD46" s="97"/>
      <c r="AE46" s="64"/>
      <c r="AF46" s="97"/>
      <c r="AG46" s="64"/>
      <c r="AH46" s="97"/>
      <c r="AI46" s="64"/>
      <c r="AJ46" s="97"/>
      <c r="AK46" s="64"/>
      <c r="AL46" s="97"/>
      <c r="AM46" s="64"/>
      <c r="AN46" s="97"/>
      <c r="AO46" s="64"/>
      <c r="AP46" s="97"/>
      <c r="AQ46" s="64"/>
      <c r="AR46" s="97"/>
      <c r="AS46" s="65"/>
    </row>
    <row r="47" spans="2:45" s="53" customFormat="1" ht="17.100000000000001" customHeight="1" x14ac:dyDescent="0.25">
      <c r="B47" s="63"/>
      <c r="C47" s="56" t="s">
        <v>76</v>
      </c>
      <c r="D47" s="54" t="s">
        <v>77</v>
      </c>
      <c r="E47" s="64"/>
      <c r="F47" s="97">
        <v>30000</v>
      </c>
      <c r="G47" s="64"/>
      <c r="H47" s="97"/>
      <c r="I47" s="64"/>
      <c r="J47" s="97"/>
      <c r="K47" s="64"/>
      <c r="L47" s="97"/>
      <c r="M47" s="64"/>
      <c r="N47" s="97"/>
      <c r="O47" s="64"/>
      <c r="P47" s="97"/>
      <c r="Q47" s="64"/>
      <c r="R47" s="97"/>
      <c r="S47" s="64"/>
      <c r="T47" s="97"/>
      <c r="U47" s="64"/>
      <c r="V47" s="97"/>
      <c r="W47" s="64"/>
      <c r="X47" s="97"/>
      <c r="Y47" s="64"/>
      <c r="Z47" s="97"/>
      <c r="AA47" s="64"/>
      <c r="AB47" s="97"/>
      <c r="AC47" s="64"/>
      <c r="AD47" s="97"/>
      <c r="AE47" s="64"/>
      <c r="AF47" s="97"/>
      <c r="AG47" s="64"/>
      <c r="AH47" s="97"/>
      <c r="AI47" s="64"/>
      <c r="AJ47" s="97"/>
      <c r="AK47" s="64"/>
      <c r="AL47" s="97"/>
      <c r="AM47" s="64"/>
      <c r="AN47" s="97"/>
      <c r="AO47" s="64"/>
      <c r="AP47" s="97"/>
      <c r="AQ47" s="64"/>
      <c r="AR47" s="97"/>
      <c r="AS47" s="65"/>
    </row>
    <row r="48" spans="2:45" s="53" customFormat="1" ht="17.100000000000001" customHeight="1" x14ac:dyDescent="0.25">
      <c r="B48" s="63"/>
      <c r="C48" s="56" t="s">
        <v>78</v>
      </c>
      <c r="D48" s="54" t="s">
        <v>1</v>
      </c>
      <c r="E48" s="64"/>
      <c r="F48" s="97">
        <v>144000</v>
      </c>
      <c r="G48" s="64"/>
      <c r="H48" s="97"/>
      <c r="I48" s="64"/>
      <c r="J48" s="97"/>
      <c r="K48" s="64"/>
      <c r="L48" s="97"/>
      <c r="M48" s="64"/>
      <c r="N48" s="97"/>
      <c r="O48" s="64"/>
      <c r="P48" s="97"/>
      <c r="Q48" s="64"/>
      <c r="R48" s="97"/>
      <c r="S48" s="64"/>
      <c r="T48" s="97"/>
      <c r="U48" s="64"/>
      <c r="V48" s="97"/>
      <c r="W48" s="64"/>
      <c r="X48" s="97"/>
      <c r="Y48" s="64"/>
      <c r="Z48" s="97"/>
      <c r="AA48" s="64"/>
      <c r="AB48" s="97"/>
      <c r="AC48" s="64"/>
      <c r="AD48" s="97"/>
      <c r="AE48" s="64"/>
      <c r="AF48" s="97"/>
      <c r="AG48" s="64"/>
      <c r="AH48" s="97"/>
      <c r="AI48" s="64"/>
      <c r="AJ48" s="97"/>
      <c r="AK48" s="64"/>
      <c r="AL48" s="97"/>
      <c r="AM48" s="64"/>
      <c r="AN48" s="97"/>
      <c r="AO48" s="64"/>
      <c r="AP48" s="97"/>
      <c r="AQ48" s="64"/>
      <c r="AR48" s="97"/>
      <c r="AS48" s="65"/>
    </row>
    <row r="49" spans="2:45" s="53" customFormat="1" ht="17.100000000000001" customHeight="1" x14ac:dyDescent="0.25">
      <c r="B49" s="63"/>
      <c r="C49" s="56" t="s">
        <v>79</v>
      </c>
      <c r="D49" s="54" t="s">
        <v>195</v>
      </c>
      <c r="E49" s="64"/>
      <c r="F49" s="97">
        <v>34442</v>
      </c>
      <c r="G49" s="64"/>
      <c r="H49" s="97"/>
      <c r="I49" s="64"/>
      <c r="J49" s="97"/>
      <c r="K49" s="64"/>
      <c r="L49" s="97"/>
      <c r="M49" s="64"/>
      <c r="N49" s="97"/>
      <c r="O49" s="64"/>
      <c r="P49" s="97"/>
      <c r="Q49" s="64"/>
      <c r="R49" s="97"/>
      <c r="S49" s="64"/>
      <c r="T49" s="97"/>
      <c r="U49" s="64"/>
      <c r="V49" s="97"/>
      <c r="W49" s="64"/>
      <c r="X49" s="97"/>
      <c r="Y49" s="64"/>
      <c r="Z49" s="97"/>
      <c r="AA49" s="64"/>
      <c r="AB49" s="97"/>
      <c r="AC49" s="64"/>
      <c r="AD49" s="97"/>
      <c r="AE49" s="64"/>
      <c r="AF49" s="97"/>
      <c r="AG49" s="64"/>
      <c r="AH49" s="97"/>
      <c r="AI49" s="64"/>
      <c r="AJ49" s="97"/>
      <c r="AK49" s="64"/>
      <c r="AL49" s="97"/>
      <c r="AM49" s="64"/>
      <c r="AN49" s="97"/>
      <c r="AO49" s="64"/>
      <c r="AP49" s="97"/>
      <c r="AQ49" s="64"/>
      <c r="AR49" s="97"/>
      <c r="AS49" s="65"/>
    </row>
    <row r="50" spans="2:45" s="53" customFormat="1" ht="17.100000000000001" customHeight="1" x14ac:dyDescent="0.25">
      <c r="B50" s="63"/>
      <c r="C50" s="56" t="s">
        <v>80</v>
      </c>
      <c r="D50" s="140" t="s">
        <v>196</v>
      </c>
      <c r="E50" s="64"/>
      <c r="F50" s="97">
        <v>15000</v>
      </c>
      <c r="G50" s="64"/>
      <c r="H50" s="97"/>
      <c r="I50" s="64"/>
      <c r="J50" s="97"/>
      <c r="K50" s="64"/>
      <c r="L50" s="97"/>
      <c r="M50" s="64"/>
      <c r="N50" s="97"/>
      <c r="O50" s="64"/>
      <c r="P50" s="97"/>
      <c r="Q50" s="64"/>
      <c r="R50" s="97"/>
      <c r="S50" s="64"/>
      <c r="T50" s="97"/>
      <c r="U50" s="64"/>
      <c r="V50" s="97"/>
      <c r="W50" s="64"/>
      <c r="X50" s="97"/>
      <c r="Y50" s="64"/>
      <c r="Z50" s="97"/>
      <c r="AA50" s="64"/>
      <c r="AB50" s="97"/>
      <c r="AC50" s="64"/>
      <c r="AD50" s="97"/>
      <c r="AE50" s="64"/>
      <c r="AF50" s="97"/>
      <c r="AG50" s="64"/>
      <c r="AH50" s="97"/>
      <c r="AI50" s="64"/>
      <c r="AJ50" s="97"/>
      <c r="AK50" s="64"/>
      <c r="AL50" s="97"/>
      <c r="AM50" s="64"/>
      <c r="AN50" s="97"/>
      <c r="AO50" s="64"/>
      <c r="AP50" s="97"/>
      <c r="AQ50" s="64"/>
      <c r="AR50" s="97"/>
      <c r="AS50" s="65"/>
    </row>
    <row r="51" spans="2:45" s="53" customFormat="1" ht="17.100000000000001" customHeight="1" x14ac:dyDescent="0.25">
      <c r="B51" s="63"/>
      <c r="C51" s="56" t="s">
        <v>82</v>
      </c>
      <c r="D51" s="54" t="s">
        <v>81</v>
      </c>
      <c r="E51" s="64"/>
      <c r="F51" s="97">
        <v>66508</v>
      </c>
      <c r="G51" s="64"/>
      <c r="H51" s="97"/>
      <c r="I51" s="64"/>
      <c r="J51" s="97"/>
      <c r="K51" s="64"/>
      <c r="L51" s="97"/>
      <c r="M51" s="64"/>
      <c r="N51" s="97"/>
      <c r="O51" s="64"/>
      <c r="P51" s="97"/>
      <c r="Q51" s="64"/>
      <c r="R51" s="97"/>
      <c r="S51" s="64"/>
      <c r="T51" s="97"/>
      <c r="U51" s="64"/>
      <c r="V51" s="97"/>
      <c r="W51" s="64"/>
      <c r="X51" s="97"/>
      <c r="Y51" s="64"/>
      <c r="Z51" s="97"/>
      <c r="AA51" s="64"/>
      <c r="AB51" s="97"/>
      <c r="AC51" s="64"/>
      <c r="AD51" s="97"/>
      <c r="AE51" s="64"/>
      <c r="AF51" s="97"/>
      <c r="AG51" s="64"/>
      <c r="AH51" s="97"/>
      <c r="AI51" s="64"/>
      <c r="AJ51" s="97"/>
      <c r="AK51" s="64"/>
      <c r="AL51" s="97"/>
      <c r="AM51" s="64"/>
      <c r="AN51" s="97"/>
      <c r="AO51" s="64"/>
      <c r="AP51" s="97"/>
      <c r="AQ51" s="64"/>
      <c r="AR51" s="97"/>
      <c r="AS51" s="65"/>
    </row>
    <row r="52" spans="2:45" s="53" customFormat="1" ht="17.100000000000001" customHeight="1" x14ac:dyDescent="0.25">
      <c r="B52" s="63"/>
      <c r="C52" s="56" t="s">
        <v>83</v>
      </c>
      <c r="D52" s="54" t="s">
        <v>88</v>
      </c>
      <c r="E52" s="64"/>
      <c r="F52" s="97">
        <v>16000</v>
      </c>
      <c r="G52" s="64"/>
      <c r="H52" s="97"/>
      <c r="I52" s="64"/>
      <c r="J52" s="97"/>
      <c r="K52" s="64"/>
      <c r="L52" s="97"/>
      <c r="M52" s="64"/>
      <c r="N52" s="97"/>
      <c r="O52" s="64"/>
      <c r="P52" s="97"/>
      <c r="Q52" s="64"/>
      <c r="R52" s="97"/>
      <c r="S52" s="64"/>
      <c r="T52" s="97"/>
      <c r="U52" s="64"/>
      <c r="V52" s="97"/>
      <c r="W52" s="64"/>
      <c r="X52" s="97"/>
      <c r="Y52" s="64"/>
      <c r="Z52" s="97"/>
      <c r="AA52" s="64"/>
      <c r="AB52" s="97"/>
      <c r="AC52" s="64"/>
      <c r="AD52" s="97"/>
      <c r="AE52" s="64"/>
      <c r="AF52" s="97"/>
      <c r="AG52" s="64"/>
      <c r="AH52" s="97"/>
      <c r="AI52" s="64"/>
      <c r="AJ52" s="97"/>
      <c r="AK52" s="64"/>
      <c r="AL52" s="97"/>
      <c r="AM52" s="64"/>
      <c r="AN52" s="97"/>
      <c r="AO52" s="64"/>
      <c r="AP52" s="97"/>
      <c r="AQ52" s="64"/>
      <c r="AR52" s="97"/>
      <c r="AS52" s="65"/>
    </row>
    <row r="53" spans="2:45" s="53" customFormat="1" ht="17.100000000000001" customHeight="1" x14ac:dyDescent="0.25">
      <c r="B53" s="63"/>
      <c r="C53" s="56" t="s">
        <v>84</v>
      </c>
      <c r="D53" s="54" t="s">
        <v>208</v>
      </c>
      <c r="E53" s="64"/>
      <c r="F53" s="97">
        <v>150650</v>
      </c>
      <c r="G53" s="64"/>
      <c r="H53" s="97"/>
      <c r="I53" s="64"/>
      <c r="J53" s="97"/>
      <c r="K53" s="64"/>
      <c r="L53" s="97"/>
      <c r="M53" s="64"/>
      <c r="N53" s="97"/>
      <c r="O53" s="64"/>
      <c r="P53" s="97"/>
      <c r="Q53" s="64"/>
      <c r="R53" s="97"/>
      <c r="S53" s="64"/>
      <c r="T53" s="97"/>
      <c r="U53" s="64"/>
      <c r="V53" s="97"/>
      <c r="W53" s="64"/>
      <c r="X53" s="97"/>
      <c r="Y53" s="64"/>
      <c r="Z53" s="97"/>
      <c r="AA53" s="64"/>
      <c r="AB53" s="97"/>
      <c r="AC53" s="64"/>
      <c r="AD53" s="97"/>
      <c r="AE53" s="64"/>
      <c r="AF53" s="97"/>
      <c r="AG53" s="64"/>
      <c r="AH53" s="97"/>
      <c r="AI53" s="64"/>
      <c r="AJ53" s="97"/>
      <c r="AK53" s="64"/>
      <c r="AL53" s="97"/>
      <c r="AM53" s="64"/>
      <c r="AN53" s="97"/>
      <c r="AO53" s="64"/>
      <c r="AP53" s="97"/>
      <c r="AQ53" s="64"/>
      <c r="AR53" s="97"/>
      <c r="AS53" s="65"/>
    </row>
    <row r="54" spans="2:45" s="53" customFormat="1" ht="17.100000000000001" customHeight="1" x14ac:dyDescent="0.25">
      <c r="B54" s="63"/>
      <c r="C54" s="56" t="s">
        <v>85</v>
      </c>
      <c r="D54" s="54" t="s">
        <v>209</v>
      </c>
      <c r="E54" s="64"/>
      <c r="F54" s="97">
        <v>94000</v>
      </c>
      <c r="G54" s="64"/>
      <c r="H54" s="97"/>
      <c r="I54" s="64"/>
      <c r="J54" s="97"/>
      <c r="K54" s="64"/>
      <c r="L54" s="97"/>
      <c r="M54" s="64"/>
      <c r="N54" s="97"/>
      <c r="O54" s="64"/>
      <c r="P54" s="97"/>
      <c r="Q54" s="64"/>
      <c r="R54" s="97"/>
      <c r="S54" s="64"/>
      <c r="T54" s="97"/>
      <c r="U54" s="64"/>
      <c r="V54" s="97"/>
      <c r="W54" s="64"/>
      <c r="X54" s="97"/>
      <c r="Y54" s="64"/>
      <c r="Z54" s="97"/>
      <c r="AA54" s="64"/>
      <c r="AB54" s="97"/>
      <c r="AC54" s="64"/>
      <c r="AD54" s="97"/>
      <c r="AE54" s="64"/>
      <c r="AF54" s="97"/>
      <c r="AG54" s="64"/>
      <c r="AH54" s="97"/>
      <c r="AI54" s="64"/>
      <c r="AJ54" s="97"/>
      <c r="AK54" s="64"/>
      <c r="AL54" s="97"/>
      <c r="AM54" s="64"/>
      <c r="AN54" s="97"/>
      <c r="AO54" s="64"/>
      <c r="AP54" s="97"/>
      <c r="AQ54" s="64"/>
      <c r="AR54" s="97"/>
      <c r="AS54" s="65"/>
    </row>
    <row r="55" spans="2:45" s="53" customFormat="1" ht="17.100000000000001" customHeight="1" x14ac:dyDescent="0.25">
      <c r="B55" s="63"/>
      <c r="C55" s="56" t="s">
        <v>87</v>
      </c>
      <c r="D55" s="54" t="s">
        <v>62</v>
      </c>
      <c r="E55" s="64"/>
      <c r="F55" s="97">
        <v>125000</v>
      </c>
      <c r="G55" s="64"/>
      <c r="H55" s="97"/>
      <c r="I55" s="64"/>
      <c r="J55" s="97"/>
      <c r="K55" s="64"/>
      <c r="L55" s="97"/>
      <c r="M55" s="64"/>
      <c r="N55" s="97"/>
      <c r="O55" s="64"/>
      <c r="P55" s="97"/>
      <c r="Q55" s="64"/>
      <c r="R55" s="97"/>
      <c r="S55" s="64"/>
      <c r="T55" s="97"/>
      <c r="U55" s="64"/>
      <c r="V55" s="97"/>
      <c r="W55" s="64"/>
      <c r="X55" s="97"/>
      <c r="Y55" s="64"/>
      <c r="Z55" s="97"/>
      <c r="AA55" s="64"/>
      <c r="AB55" s="97"/>
      <c r="AC55" s="64"/>
      <c r="AD55" s="97"/>
      <c r="AE55" s="64"/>
      <c r="AF55" s="97"/>
      <c r="AG55" s="64"/>
      <c r="AH55" s="97"/>
      <c r="AI55" s="64"/>
      <c r="AJ55" s="97"/>
      <c r="AK55" s="64"/>
      <c r="AL55" s="97"/>
      <c r="AM55" s="64"/>
      <c r="AN55" s="97"/>
      <c r="AO55" s="64"/>
      <c r="AP55" s="97"/>
      <c r="AQ55" s="64"/>
      <c r="AR55" s="97"/>
      <c r="AS55" s="65"/>
    </row>
    <row r="56" spans="2:45" s="53" customFormat="1" ht="17.100000000000001" customHeight="1" x14ac:dyDescent="0.25">
      <c r="B56" s="63"/>
      <c r="C56" s="56" t="s">
        <v>89</v>
      </c>
      <c r="D56" s="54" t="s">
        <v>197</v>
      </c>
      <c r="E56" s="64"/>
      <c r="F56" s="97"/>
      <c r="G56" s="64"/>
      <c r="H56" s="97"/>
      <c r="I56" s="64"/>
      <c r="J56" s="97"/>
      <c r="K56" s="64"/>
      <c r="L56" s="97"/>
      <c r="M56" s="64"/>
      <c r="N56" s="97"/>
      <c r="O56" s="64"/>
      <c r="P56" s="97"/>
      <c r="Q56" s="64"/>
      <c r="R56" s="97"/>
      <c r="S56" s="64"/>
      <c r="T56" s="97"/>
      <c r="U56" s="64"/>
      <c r="V56" s="97"/>
      <c r="W56" s="64"/>
      <c r="X56" s="97"/>
      <c r="Y56" s="64"/>
      <c r="Z56" s="97"/>
      <c r="AA56" s="64"/>
      <c r="AB56" s="97"/>
      <c r="AC56" s="64"/>
      <c r="AD56" s="97"/>
      <c r="AE56" s="64"/>
      <c r="AF56" s="97"/>
      <c r="AG56" s="64"/>
      <c r="AH56" s="97"/>
      <c r="AI56" s="64"/>
      <c r="AJ56" s="97"/>
      <c r="AK56" s="64"/>
      <c r="AL56" s="97"/>
      <c r="AM56" s="64"/>
      <c r="AN56" s="97"/>
      <c r="AO56" s="64"/>
      <c r="AP56" s="97"/>
      <c r="AQ56" s="64"/>
      <c r="AR56" s="97"/>
      <c r="AS56" s="65"/>
    </row>
    <row r="57" spans="2:45" s="53" customFormat="1" ht="17.100000000000001" customHeight="1" x14ac:dyDescent="0.25">
      <c r="B57" s="63"/>
      <c r="C57" s="56" t="s">
        <v>91</v>
      </c>
      <c r="D57" s="54" t="s">
        <v>92</v>
      </c>
      <c r="E57" s="64"/>
      <c r="F57" s="97"/>
      <c r="G57" s="64"/>
      <c r="H57" s="97"/>
      <c r="I57" s="64"/>
      <c r="J57" s="97"/>
      <c r="K57" s="64"/>
      <c r="L57" s="97"/>
      <c r="M57" s="64"/>
      <c r="N57" s="97"/>
      <c r="O57" s="64"/>
      <c r="P57" s="97"/>
      <c r="Q57" s="64"/>
      <c r="R57" s="97"/>
      <c r="S57" s="64"/>
      <c r="T57" s="97"/>
      <c r="U57" s="64"/>
      <c r="V57" s="97"/>
      <c r="W57" s="64"/>
      <c r="X57" s="97"/>
      <c r="Y57" s="64"/>
      <c r="Z57" s="97"/>
      <c r="AA57" s="64"/>
      <c r="AB57" s="97"/>
      <c r="AC57" s="64"/>
      <c r="AD57" s="97"/>
      <c r="AE57" s="64"/>
      <c r="AF57" s="97"/>
      <c r="AG57" s="64"/>
      <c r="AH57" s="97"/>
      <c r="AI57" s="64"/>
      <c r="AJ57" s="97"/>
      <c r="AK57" s="64"/>
      <c r="AL57" s="97"/>
      <c r="AM57" s="64"/>
      <c r="AN57" s="97"/>
      <c r="AO57" s="64"/>
      <c r="AP57" s="97"/>
      <c r="AQ57" s="64"/>
      <c r="AR57" s="97"/>
      <c r="AS57" s="65"/>
    </row>
    <row r="58" spans="2:45" s="53" customFormat="1" ht="17.100000000000001" customHeight="1" x14ac:dyDescent="0.25">
      <c r="B58" s="63"/>
      <c r="C58" s="56" t="s">
        <v>93</v>
      </c>
      <c r="D58" s="54" t="s">
        <v>90</v>
      </c>
      <c r="E58" s="64"/>
      <c r="F58" s="97">
        <v>12500</v>
      </c>
      <c r="G58" s="64"/>
      <c r="H58" s="97"/>
      <c r="I58" s="64"/>
      <c r="J58" s="97"/>
      <c r="K58" s="64"/>
      <c r="L58" s="97"/>
      <c r="M58" s="64"/>
      <c r="N58" s="97"/>
      <c r="O58" s="64"/>
      <c r="P58" s="97"/>
      <c r="Q58" s="64"/>
      <c r="R58" s="97"/>
      <c r="S58" s="64"/>
      <c r="T58" s="97"/>
      <c r="U58" s="64"/>
      <c r="V58" s="97"/>
      <c r="W58" s="64"/>
      <c r="X58" s="97"/>
      <c r="Y58" s="64"/>
      <c r="Z58" s="97"/>
      <c r="AA58" s="64"/>
      <c r="AB58" s="97"/>
      <c r="AC58" s="64"/>
      <c r="AD58" s="97"/>
      <c r="AE58" s="64"/>
      <c r="AF58" s="97"/>
      <c r="AG58" s="64"/>
      <c r="AH58" s="97"/>
      <c r="AI58" s="64"/>
      <c r="AJ58" s="97"/>
      <c r="AK58" s="64"/>
      <c r="AL58" s="97"/>
      <c r="AM58" s="64"/>
      <c r="AN58" s="97"/>
      <c r="AO58" s="64"/>
      <c r="AP58" s="97"/>
      <c r="AQ58" s="64"/>
      <c r="AR58" s="97"/>
      <c r="AS58" s="65"/>
    </row>
    <row r="59" spans="2:45" s="53" customFormat="1" ht="17.100000000000001" customHeight="1" x14ac:dyDescent="0.25">
      <c r="B59" s="63"/>
      <c r="C59" s="56" t="s">
        <v>94</v>
      </c>
      <c r="D59" s="140" t="s">
        <v>198</v>
      </c>
      <c r="E59" s="64"/>
      <c r="F59" s="97"/>
      <c r="G59" s="64"/>
      <c r="H59" s="97"/>
      <c r="I59" s="64"/>
      <c r="J59" s="97"/>
      <c r="K59" s="64"/>
      <c r="L59" s="97"/>
      <c r="M59" s="64"/>
      <c r="N59" s="97"/>
      <c r="O59" s="64"/>
      <c r="P59" s="97"/>
      <c r="Q59" s="64"/>
      <c r="R59" s="97"/>
      <c r="S59" s="64"/>
      <c r="T59" s="97"/>
      <c r="U59" s="64"/>
      <c r="V59" s="97"/>
      <c r="W59" s="64"/>
      <c r="X59" s="97"/>
      <c r="Y59" s="64"/>
      <c r="Z59" s="97"/>
      <c r="AA59" s="64"/>
      <c r="AB59" s="97"/>
      <c r="AC59" s="64"/>
      <c r="AD59" s="97"/>
      <c r="AE59" s="64"/>
      <c r="AF59" s="97"/>
      <c r="AG59" s="64"/>
      <c r="AH59" s="97"/>
      <c r="AI59" s="64"/>
      <c r="AJ59" s="97"/>
      <c r="AK59" s="64"/>
      <c r="AL59" s="97"/>
      <c r="AM59" s="64"/>
      <c r="AN59" s="97"/>
      <c r="AO59" s="64"/>
      <c r="AP59" s="97"/>
      <c r="AQ59" s="64"/>
      <c r="AR59" s="97"/>
      <c r="AS59" s="65"/>
    </row>
    <row r="60" spans="2:45" s="53" customFormat="1" ht="17.100000000000001" customHeight="1" x14ac:dyDescent="0.25">
      <c r="B60" s="63"/>
      <c r="C60" s="56" t="s">
        <v>95</v>
      </c>
      <c r="D60" s="54" t="s">
        <v>86</v>
      </c>
      <c r="E60" s="64"/>
      <c r="F60" s="97">
        <v>33500</v>
      </c>
      <c r="G60" s="64"/>
      <c r="H60" s="97"/>
      <c r="I60" s="64"/>
      <c r="J60" s="97"/>
      <c r="K60" s="64"/>
      <c r="L60" s="97"/>
      <c r="M60" s="64"/>
      <c r="N60" s="97"/>
      <c r="O60" s="64"/>
      <c r="P60" s="97"/>
      <c r="Q60" s="64"/>
      <c r="R60" s="97"/>
      <c r="S60" s="64"/>
      <c r="T60" s="97"/>
      <c r="U60" s="64"/>
      <c r="V60" s="97"/>
      <c r="W60" s="64"/>
      <c r="X60" s="97"/>
      <c r="Y60" s="64"/>
      <c r="Z60" s="97"/>
      <c r="AA60" s="64"/>
      <c r="AB60" s="97"/>
      <c r="AC60" s="64"/>
      <c r="AD60" s="97"/>
      <c r="AE60" s="64"/>
      <c r="AF60" s="97"/>
      <c r="AG60" s="64"/>
      <c r="AH60" s="97"/>
      <c r="AI60" s="64"/>
      <c r="AJ60" s="97"/>
      <c r="AK60" s="64"/>
      <c r="AL60" s="97"/>
      <c r="AM60" s="64"/>
      <c r="AN60" s="97"/>
      <c r="AO60" s="64"/>
      <c r="AP60" s="97"/>
      <c r="AQ60" s="64"/>
      <c r="AR60" s="97"/>
      <c r="AS60" s="65"/>
    </row>
    <row r="61" spans="2:45" s="53" customFormat="1" ht="17.100000000000001" customHeight="1" x14ac:dyDescent="0.25">
      <c r="B61" s="63"/>
      <c r="C61" s="56" t="s">
        <v>96</v>
      </c>
      <c r="D61" s="54" t="s">
        <v>199</v>
      </c>
      <c r="E61" s="64"/>
      <c r="F61" s="97">
        <v>139109</v>
      </c>
      <c r="G61" s="64"/>
      <c r="H61" s="97"/>
      <c r="I61" s="64"/>
      <c r="J61" s="97"/>
      <c r="K61" s="64"/>
      <c r="L61" s="97"/>
      <c r="M61" s="64"/>
      <c r="N61" s="97"/>
      <c r="O61" s="64"/>
      <c r="P61" s="97"/>
      <c r="Q61" s="64"/>
      <c r="R61" s="97"/>
      <c r="S61" s="64"/>
      <c r="T61" s="97"/>
      <c r="U61" s="64"/>
      <c r="V61" s="97"/>
      <c r="W61" s="64"/>
      <c r="X61" s="97"/>
      <c r="Y61" s="64"/>
      <c r="Z61" s="97"/>
      <c r="AA61" s="64"/>
      <c r="AB61" s="97"/>
      <c r="AC61" s="64"/>
      <c r="AD61" s="97"/>
      <c r="AE61" s="64"/>
      <c r="AF61" s="97"/>
      <c r="AG61" s="64"/>
      <c r="AH61" s="97"/>
      <c r="AI61" s="64"/>
      <c r="AJ61" s="97"/>
      <c r="AK61" s="64"/>
      <c r="AL61" s="97"/>
      <c r="AM61" s="64"/>
      <c r="AN61" s="97"/>
      <c r="AO61" s="64"/>
      <c r="AP61" s="97"/>
      <c r="AQ61" s="64"/>
      <c r="AR61" s="97"/>
      <c r="AS61" s="65"/>
    </row>
    <row r="62" spans="2:45" s="53" customFormat="1" ht="17.100000000000001" customHeight="1" x14ac:dyDescent="0.25">
      <c r="B62" s="63"/>
      <c r="C62" s="56" t="s">
        <v>97</v>
      </c>
      <c r="D62" s="54" t="s">
        <v>200</v>
      </c>
      <c r="E62" s="64"/>
      <c r="F62" s="97">
        <v>88254</v>
      </c>
      <c r="G62" s="64"/>
      <c r="H62" s="97"/>
      <c r="I62" s="64"/>
      <c r="J62" s="97"/>
      <c r="K62" s="64"/>
      <c r="L62" s="97"/>
      <c r="M62" s="64"/>
      <c r="N62" s="97"/>
      <c r="O62" s="64"/>
      <c r="P62" s="97"/>
      <c r="Q62" s="64"/>
      <c r="R62" s="97"/>
      <c r="S62" s="64"/>
      <c r="T62" s="97"/>
      <c r="U62" s="64"/>
      <c r="V62" s="97"/>
      <c r="W62" s="64"/>
      <c r="X62" s="97"/>
      <c r="Y62" s="64"/>
      <c r="Z62" s="97"/>
      <c r="AA62" s="64"/>
      <c r="AB62" s="97"/>
      <c r="AC62" s="64"/>
      <c r="AD62" s="97"/>
      <c r="AE62" s="64"/>
      <c r="AF62" s="97"/>
      <c r="AG62" s="64"/>
      <c r="AH62" s="97"/>
      <c r="AI62" s="64"/>
      <c r="AJ62" s="97"/>
      <c r="AK62" s="64"/>
      <c r="AL62" s="97"/>
      <c r="AM62" s="64"/>
      <c r="AN62" s="97"/>
      <c r="AO62" s="64"/>
      <c r="AP62" s="97"/>
      <c r="AQ62" s="64"/>
      <c r="AR62" s="97"/>
      <c r="AS62" s="65"/>
    </row>
    <row r="63" spans="2:45" s="53" customFormat="1" ht="17.100000000000001" customHeight="1" x14ac:dyDescent="0.25">
      <c r="B63" s="63"/>
      <c r="C63" s="56" t="s">
        <v>201</v>
      </c>
      <c r="D63" s="54" t="s">
        <v>202</v>
      </c>
      <c r="E63" s="64"/>
      <c r="F63" s="97">
        <v>75855</v>
      </c>
      <c r="G63" s="64"/>
      <c r="H63" s="97"/>
      <c r="I63" s="64"/>
      <c r="J63" s="97"/>
      <c r="K63" s="64"/>
      <c r="L63" s="97"/>
      <c r="M63" s="64"/>
      <c r="N63" s="97"/>
      <c r="O63" s="64"/>
      <c r="P63" s="97"/>
      <c r="Q63" s="64"/>
      <c r="R63" s="97"/>
      <c r="S63" s="64"/>
      <c r="T63" s="97"/>
      <c r="U63" s="64"/>
      <c r="V63" s="97"/>
      <c r="W63" s="64"/>
      <c r="X63" s="97"/>
      <c r="Y63" s="64"/>
      <c r="Z63" s="97"/>
      <c r="AA63" s="64"/>
      <c r="AB63" s="97"/>
      <c r="AC63" s="64"/>
      <c r="AD63" s="97"/>
      <c r="AE63" s="64"/>
      <c r="AF63" s="97"/>
      <c r="AG63" s="64"/>
      <c r="AH63" s="97"/>
      <c r="AI63" s="64"/>
      <c r="AJ63" s="97"/>
      <c r="AK63" s="64"/>
      <c r="AL63" s="97"/>
      <c r="AM63" s="64"/>
      <c r="AN63" s="97"/>
      <c r="AO63" s="64"/>
      <c r="AP63" s="97"/>
      <c r="AQ63" s="64"/>
      <c r="AR63" s="97"/>
      <c r="AS63" s="65"/>
    </row>
    <row r="64" spans="2:45" s="53" customFormat="1" ht="17.100000000000001" customHeight="1" x14ac:dyDescent="0.25">
      <c r="B64" s="63"/>
      <c r="C64" s="56" t="s">
        <v>203</v>
      </c>
      <c r="D64" s="54" t="s">
        <v>204</v>
      </c>
      <c r="E64" s="64"/>
      <c r="F64" s="97"/>
      <c r="G64" s="64"/>
      <c r="H64" s="97"/>
      <c r="I64" s="64"/>
      <c r="J64" s="97"/>
      <c r="K64" s="64"/>
      <c r="L64" s="97"/>
      <c r="M64" s="64"/>
      <c r="N64" s="97"/>
      <c r="O64" s="64"/>
      <c r="P64" s="97"/>
      <c r="Q64" s="64"/>
      <c r="R64" s="97"/>
      <c r="S64" s="64"/>
      <c r="T64" s="97"/>
      <c r="U64" s="64"/>
      <c r="V64" s="97"/>
      <c r="W64" s="64"/>
      <c r="X64" s="97"/>
      <c r="Y64" s="64"/>
      <c r="Z64" s="97"/>
      <c r="AA64" s="64"/>
      <c r="AB64" s="97"/>
      <c r="AC64" s="64"/>
      <c r="AD64" s="97"/>
      <c r="AE64" s="64"/>
      <c r="AF64" s="97"/>
      <c r="AG64" s="64"/>
      <c r="AH64" s="97"/>
      <c r="AI64" s="64"/>
      <c r="AJ64" s="97"/>
      <c r="AK64" s="64"/>
      <c r="AL64" s="97"/>
      <c r="AM64" s="64"/>
      <c r="AN64" s="97"/>
      <c r="AO64" s="64"/>
      <c r="AP64" s="97"/>
      <c r="AQ64" s="64"/>
      <c r="AR64" s="97"/>
      <c r="AS64" s="65"/>
    </row>
    <row r="65" spans="2:45" s="53" customFormat="1" ht="17.100000000000001" customHeight="1" x14ac:dyDescent="0.25">
      <c r="B65" s="63"/>
      <c r="C65" s="56" t="s">
        <v>205</v>
      </c>
      <c r="D65" s="140" t="s">
        <v>206</v>
      </c>
      <c r="E65" s="64"/>
      <c r="F65" s="97"/>
      <c r="G65" s="64"/>
      <c r="H65" s="97"/>
      <c r="I65" s="64"/>
      <c r="J65" s="97"/>
      <c r="K65" s="64"/>
      <c r="L65" s="97"/>
      <c r="M65" s="64"/>
      <c r="N65" s="97"/>
      <c r="O65" s="64"/>
      <c r="P65" s="97"/>
      <c r="Q65" s="64"/>
      <c r="R65" s="97"/>
      <c r="S65" s="64"/>
      <c r="T65" s="97"/>
      <c r="U65" s="64"/>
      <c r="V65" s="97"/>
      <c r="W65" s="64"/>
      <c r="X65" s="97"/>
      <c r="Y65" s="64"/>
      <c r="Z65" s="97"/>
      <c r="AA65" s="64"/>
      <c r="AB65" s="97"/>
      <c r="AC65" s="64"/>
      <c r="AD65" s="97"/>
      <c r="AE65" s="64"/>
      <c r="AF65" s="97"/>
      <c r="AG65" s="64"/>
      <c r="AH65" s="97"/>
      <c r="AI65" s="64"/>
      <c r="AJ65" s="97"/>
      <c r="AK65" s="64"/>
      <c r="AL65" s="97"/>
      <c r="AM65" s="64"/>
      <c r="AN65" s="97"/>
      <c r="AO65" s="64"/>
      <c r="AP65" s="97"/>
      <c r="AQ65" s="64"/>
      <c r="AR65" s="97"/>
      <c r="AS65" s="65"/>
    </row>
    <row r="66" spans="2:45" ht="15.75" thickBot="1" x14ac:dyDescent="0.25">
      <c r="B66" s="67"/>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9"/>
    </row>
    <row r="67" spans="2:45" x14ac:dyDescent="0.2"/>
    <row r="68" spans="2:45" x14ac:dyDescent="0.2"/>
    <row r="69" spans="2:45" hidden="1" x14ac:dyDescent="0.2"/>
    <row r="70" spans="2:45" hidden="1" x14ac:dyDescent="0.2"/>
    <row r="71" spans="2:45" hidden="1" x14ac:dyDescent="0.2"/>
    <row r="72" spans="2:45" hidden="1" x14ac:dyDescent="0.2"/>
    <row r="73" spans="2:45" hidden="1" x14ac:dyDescent="0.2"/>
    <row r="74" spans="2:45" hidden="1" x14ac:dyDescent="0.2"/>
    <row r="75" spans="2:45" hidden="1" x14ac:dyDescent="0.2"/>
    <row r="76" spans="2:45" hidden="1" x14ac:dyDescent="0.2"/>
    <row r="77" spans="2:45" hidden="1" x14ac:dyDescent="0.2"/>
    <row r="78" spans="2:45" hidden="1" x14ac:dyDescent="0.2"/>
    <row r="79" spans="2:45" hidden="1" x14ac:dyDescent="0.2"/>
    <row r="80" spans="2:45" hidden="1" x14ac:dyDescent="0.2"/>
    <row r="81" hidden="1" x14ac:dyDescent="0.2"/>
    <row r="82" hidden="1" x14ac:dyDescent="0.2"/>
    <row r="83" hidden="1" x14ac:dyDescent="0.2"/>
    <row r="84" hidden="1" x14ac:dyDescent="0.2"/>
    <row r="85" x14ac:dyDescent="0.2"/>
    <row r="86" x14ac:dyDescent="0.2"/>
  </sheetData>
  <sheetProtection algorithmName="SHA-512" hashValue="avIxfphGhnyOEvIG0yWS3mbhcEWWUda24teHhdq9d1vNT4ujpq9MdRbtBYSmby0UDAy5tRDcokRfenIzXzhHQg==" saltValue="CPchvCcRkMQGYzkF8I/l+g==" spinCount="100000" sheet="1" formatColumns="0" formatRows="0" insertColumns="0" insertRows="0"/>
  <mergeCells count="53">
    <mergeCell ref="AR12:AR16"/>
    <mergeCell ref="V12:V16"/>
    <mergeCell ref="X12:X16"/>
    <mergeCell ref="Z12:Z16"/>
    <mergeCell ref="AB12:AB16"/>
    <mergeCell ref="AD12:AD16"/>
    <mergeCell ref="AF12:AF16"/>
    <mergeCell ref="AH12:AH16"/>
    <mergeCell ref="AJ12:AJ16"/>
    <mergeCell ref="AL12:AL16"/>
    <mergeCell ref="AN12:AN16"/>
    <mergeCell ref="AP12:AP16"/>
    <mergeCell ref="AR9:AR10"/>
    <mergeCell ref="F12:F16"/>
    <mergeCell ref="H12:H16"/>
    <mergeCell ref="J12:J16"/>
    <mergeCell ref="L12:L16"/>
    <mergeCell ref="N12:N16"/>
    <mergeCell ref="P12:P16"/>
    <mergeCell ref="R12:R16"/>
    <mergeCell ref="T12:T16"/>
    <mergeCell ref="Z9:Z10"/>
    <mergeCell ref="AB9:AB10"/>
    <mergeCell ref="AD9:AD10"/>
    <mergeCell ref="AF9:AF10"/>
    <mergeCell ref="AH9:AH10"/>
    <mergeCell ref="AJ9:AJ10"/>
    <mergeCell ref="AL9:AL10"/>
    <mergeCell ref="C3:D3"/>
    <mergeCell ref="C5:D16"/>
    <mergeCell ref="AN9:AN10"/>
    <mergeCell ref="AP9:AP10"/>
    <mergeCell ref="N9:N10"/>
    <mergeCell ref="P9:P10"/>
    <mergeCell ref="R9:R10"/>
    <mergeCell ref="T9:T10"/>
    <mergeCell ref="V9:V10"/>
    <mergeCell ref="X9:X10"/>
    <mergeCell ref="L9:L10"/>
    <mergeCell ref="J9:J10"/>
    <mergeCell ref="H9:H10"/>
    <mergeCell ref="C23:D23"/>
    <mergeCell ref="C21:D21"/>
    <mergeCell ref="C19:D19"/>
    <mergeCell ref="C20:D20"/>
    <mergeCell ref="F9:F10"/>
    <mergeCell ref="C32:D32"/>
    <mergeCell ref="C29:D29"/>
    <mergeCell ref="C28:D28"/>
    <mergeCell ref="C25:D25"/>
    <mergeCell ref="C24:D24"/>
    <mergeCell ref="C31:D31"/>
    <mergeCell ref="C27:D27"/>
  </mergeCells>
  <dataValidations count="2">
    <dataValidation allowBlank="1" showInputMessage="1" showErrorMessage="1" prompt="= sum of all the lessons being taught across the timetable by each teacher" sqref="C29"/>
    <dataValidation allowBlank="1" showInputMessage="1" showErrorMessage="1" prompt="= total periods in day multiplied by days in timetable cycle" sqref="C28"/>
  </dataValidations>
  <hyperlinks>
    <hyperlink ref="F12:F16" location="Dashboard!F38" display="Input the raw data for this school below, or click here to input the school's dashboard data directly"/>
    <hyperlink ref="H12:H16" location="Dashboard!J38" display="Input the raw data for this school below, or click here to input the school's dashboard data directly"/>
    <hyperlink ref="J12:J16" location="Dashboard!N38" display="Input the raw data for this school below, or click here to input the school's dashboard data directly"/>
    <hyperlink ref="L12:L16" location="Dashboard!R38" display="Input the raw data for this school below, or click here to input the school's dashboard data directly"/>
    <hyperlink ref="N12:N16" location="Dashboard!V38" display="Input the raw data for this school below, or click here to input the school's dashboard data directly"/>
    <hyperlink ref="P12:P16" location="Dashboard!Z38" display="Input the raw data for this school below, or click here to input the school's dashboard data directly"/>
    <hyperlink ref="R12:R16" location="Dashboard!AD38" display="Input the raw data for this school below, or click here to input the school's dashboard data directly"/>
    <hyperlink ref="T12:T16" location="Dashboard!AH38" display="Input the raw data for this school below, or click here to input the school's dashboard data directly"/>
    <hyperlink ref="V12:V16" location="Dashboard!AL38" display="Input the raw data for this school below, or click here to input the school's dashboard data directly"/>
    <hyperlink ref="X12:X16" location="Dashboard!AP38" display="Input the raw data for this school below, or click here to input the school's dashboard data directly"/>
    <hyperlink ref="Z12:Z16" location="Dashboard!AT38" display="Input the raw data for this school below, or click here to input the school's dashboard data directly"/>
    <hyperlink ref="AB12:AB16" location="Dashboard!AX38" display="Input the raw data for this school below, or click here to input the school's dashboard data directly"/>
    <hyperlink ref="AD12:AD16" location="Dashboard!BB38" display="Input the raw data for this school below, or click here to input the school's dashboard data directly"/>
    <hyperlink ref="AF12:AF16" location="Dashboard!BF38" display="Input the raw data for this school below, or click here to input the school's dashboard data directly"/>
    <hyperlink ref="AH12:AH16" location="Dashboard!BJ38" display="Input the raw data for this school below, or click here to input the school's dashboard data directly"/>
    <hyperlink ref="AJ12:AJ16" location="Dashboard!BN38" display="Input the raw data for this school below, or click here to input the school's dashboard data directly"/>
    <hyperlink ref="AL12:AL16" location="Dashboard!BR38" display="Input the raw data for this school below, or click here to input the school's dashboard data directly"/>
    <hyperlink ref="AN12:AN16" location="Dashboard!BV38" display="Input the raw data for this school below, or click here to input the school's dashboard data directly"/>
    <hyperlink ref="AP12:AP16" location="Dashboard!BZ38" display="Input the raw data for this school below, or click here to input the school's dashboard data directly"/>
    <hyperlink ref="AR12:AR16" location="Dashboard!CD38" display="Input the raw data for this school below, or click here to input the school's dashboard data directly"/>
  </hyperlinks>
  <pageMargins left="0.7" right="0.7" top="0.75" bottom="0.75" header="0.3" footer="0.3"/>
  <pageSetup paperSize="9" scale="68" orientation="portrait" r:id="rId1"/>
  <colBreaks count="1" manualBreakCount="1">
    <brk id="2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pageSetUpPr fitToPage="1"/>
  </sheetPr>
  <dimension ref="A1:U104"/>
  <sheetViews>
    <sheetView showGridLines="0" showRowColHeaders="0" zoomScale="80" zoomScaleNormal="80" workbookViewId="0">
      <selection activeCell="O60" sqref="O60"/>
    </sheetView>
  </sheetViews>
  <sheetFormatPr defaultColWidth="0" defaultRowHeight="15" zeroHeight="1" x14ac:dyDescent="0.2"/>
  <cols>
    <col min="1" max="1" width="9" style="52" customWidth="1"/>
    <col min="2" max="2" width="79.85546875" style="52" customWidth="1"/>
    <col min="3" max="3" width="3" style="52" customWidth="1"/>
    <col min="4" max="4" width="21.140625" style="52" bestFit="1" customWidth="1"/>
    <col min="5" max="5" width="14.28515625" style="52" bestFit="1" customWidth="1"/>
    <col min="6" max="6" width="2" style="52" customWidth="1"/>
    <col min="7" max="7" width="12" style="52" bestFit="1" customWidth="1"/>
    <col min="8" max="8" width="10" style="52" bestFit="1" customWidth="1"/>
    <col min="9" max="9" width="4.42578125" style="52" bestFit="1" customWidth="1"/>
    <col min="10" max="10" width="10" style="52" bestFit="1" customWidth="1"/>
    <col min="11" max="11" width="2" style="52" customWidth="1"/>
    <col min="12" max="12" width="23.42578125" style="52" bestFit="1" customWidth="1"/>
    <col min="13" max="13" width="10" style="52" customWidth="1"/>
    <col min="14" max="14" width="4.42578125" style="52" bestFit="1" customWidth="1"/>
    <col min="15" max="15" width="10" style="52" customWidth="1"/>
    <col min="16" max="16" width="2" style="52" customWidth="1"/>
    <col min="17" max="17" width="11.140625" style="52" customWidth="1"/>
    <col min="18" max="18" width="10" style="52" bestFit="1" customWidth="1"/>
    <col min="19" max="19" width="4.42578125" style="52" bestFit="1" customWidth="1"/>
    <col min="20" max="20" width="10" style="52" bestFit="1" customWidth="1"/>
    <col min="21" max="21" width="9" style="52" customWidth="1"/>
    <col min="22" max="16384" width="18.7109375" style="52" hidden="1"/>
  </cols>
  <sheetData>
    <row r="1" spans="2:20" ht="15.75" thickBot="1" x14ac:dyDescent="0.25"/>
    <row r="2" spans="2:20" s="55" customFormat="1" ht="22.35" customHeight="1" thickBot="1" x14ac:dyDescent="0.3">
      <c r="B2" s="215" t="s">
        <v>308</v>
      </c>
      <c r="H2" s="343" t="s">
        <v>362</v>
      </c>
      <c r="I2" s="363"/>
      <c r="J2" s="363"/>
      <c r="K2" s="363"/>
      <c r="L2" s="363"/>
      <c r="M2" s="363"/>
      <c r="N2" s="363"/>
      <c r="O2" s="363"/>
      <c r="P2" s="363"/>
      <c r="Q2" s="363"/>
      <c r="R2" s="363"/>
      <c r="S2" s="363"/>
      <c r="T2" s="344"/>
    </row>
    <row r="3" spans="2:20" s="55" customFormat="1" ht="22.35" customHeight="1" thickBot="1" x14ac:dyDescent="0.3">
      <c r="B3" s="217" t="s">
        <v>406</v>
      </c>
      <c r="H3" s="345"/>
      <c r="I3" s="364"/>
      <c r="J3" s="364"/>
      <c r="K3" s="364"/>
      <c r="L3" s="364"/>
      <c r="M3" s="364"/>
      <c r="N3" s="364"/>
      <c r="O3" s="364"/>
      <c r="P3" s="364"/>
      <c r="Q3" s="364"/>
      <c r="R3" s="364"/>
      <c r="S3" s="364"/>
      <c r="T3" s="346"/>
    </row>
    <row r="4" spans="2:20" x14ac:dyDescent="0.2">
      <c r="H4" s="345"/>
      <c r="I4" s="364"/>
      <c r="J4" s="364"/>
      <c r="K4" s="364"/>
      <c r="L4" s="364"/>
      <c r="M4" s="364"/>
      <c r="N4" s="364"/>
      <c r="O4" s="364"/>
      <c r="P4" s="364"/>
      <c r="Q4" s="364"/>
      <c r="R4" s="364"/>
      <c r="S4" s="364"/>
      <c r="T4" s="346"/>
    </row>
    <row r="5" spans="2:20" x14ac:dyDescent="0.2">
      <c r="H5" s="345"/>
      <c r="I5" s="364"/>
      <c r="J5" s="364"/>
      <c r="K5" s="364"/>
      <c r="L5" s="364"/>
      <c r="M5" s="364"/>
      <c r="N5" s="364"/>
      <c r="O5" s="364"/>
      <c r="P5" s="364"/>
      <c r="Q5" s="364"/>
      <c r="R5" s="364"/>
      <c r="S5" s="364"/>
      <c r="T5" s="346"/>
    </row>
    <row r="6" spans="2:20" x14ac:dyDescent="0.2">
      <c r="B6" s="52" t="s">
        <v>127</v>
      </c>
      <c r="G6" s="170"/>
      <c r="H6" s="345"/>
      <c r="I6" s="364"/>
      <c r="J6" s="364"/>
      <c r="K6" s="364"/>
      <c r="L6" s="364"/>
      <c r="M6" s="364"/>
      <c r="N6" s="364"/>
      <c r="O6" s="364"/>
      <c r="P6" s="364"/>
      <c r="Q6" s="364"/>
      <c r="R6" s="364"/>
      <c r="S6" s="364"/>
      <c r="T6" s="346"/>
    </row>
    <row r="7" spans="2:20" x14ac:dyDescent="0.2">
      <c r="B7" s="137" t="str">
        <f>IF($B$3="","","- "&amp;
INDEX(Calcs!L:L,MATCH($B$3,Calcs!A:A,0)))</f>
        <v>- a secondary school with a sixth form</v>
      </c>
      <c r="H7" s="345"/>
      <c r="I7" s="364"/>
      <c r="J7" s="364"/>
      <c r="K7" s="364"/>
      <c r="L7" s="364"/>
      <c r="M7" s="364"/>
      <c r="N7" s="364"/>
      <c r="O7" s="364"/>
      <c r="P7" s="364"/>
      <c r="Q7" s="364"/>
      <c r="R7" s="364"/>
      <c r="S7" s="364"/>
      <c r="T7" s="346"/>
    </row>
    <row r="8" spans="2:20" x14ac:dyDescent="0.2">
      <c r="B8" s="137" t="str">
        <f>IF($B$3="","","- "&amp;
INDEX(Calcs!I:I,MATCH($B$3,Calcs!A:A,0)))</f>
        <v>- outside London</v>
      </c>
      <c r="H8" s="345"/>
      <c r="I8" s="364"/>
      <c r="J8" s="364"/>
      <c r="K8" s="364"/>
      <c r="L8" s="364"/>
      <c r="M8" s="364"/>
      <c r="N8" s="364"/>
      <c r="O8" s="364"/>
      <c r="P8" s="364"/>
      <c r="Q8" s="364"/>
      <c r="R8" s="364"/>
      <c r="S8" s="364"/>
      <c r="T8" s="346"/>
    </row>
    <row r="9" spans="2:20" x14ac:dyDescent="0.2">
      <c r="B9" s="137" t="str">
        <f>IF($B$3="","",
IF(OR($B$7="- an alternative provision school",$B$7="- a special school",$B$7="- an all-through school",$B$7="- a nursery school"),"",
"- a "&amp;INDEX(Calcs!J:J,MATCH($B$3,Calcs!A:A,0))&amp;" school because it has "&amp;INDEX(Calcs!M:M,MATCH($B$3,Calcs!A:A,0))))</f>
        <v>- a large school because it has more than 1300 pupils</v>
      </c>
      <c r="H9" s="347"/>
      <c r="I9" s="365"/>
      <c r="J9" s="365"/>
      <c r="K9" s="365"/>
      <c r="L9" s="365"/>
      <c r="M9" s="365"/>
      <c r="N9" s="365"/>
      <c r="O9" s="365"/>
      <c r="P9" s="365"/>
      <c r="Q9" s="365"/>
      <c r="R9" s="365"/>
      <c r="S9" s="365"/>
      <c r="T9" s="348"/>
    </row>
    <row r="10" spans="2:20" x14ac:dyDescent="0.2">
      <c r="B10" s="137" t="str">
        <f>IF($B$3="","",
IF(OR($B$7="- an alternative provision school",$B$7="- a special school",$B$7="- an all-through school",$B$7="- a nursery school"),"",
"- a school with "&amp;INDEX(Calcs!K:K,MATCH($B$3,Calcs!A:A,0))&amp;" because "&amp;INDEX(Calcs!N:N,MATCH($B$3,Calcs!A:A,0))&amp;" are eligible"))</f>
        <v>- a school with medium levels of FSM because between 6% and 16.5% of pupils are eligible</v>
      </c>
    </row>
    <row r="11" spans="2:20" x14ac:dyDescent="0.2">
      <c r="B11" s="137"/>
    </row>
    <row r="12" spans="2:20" x14ac:dyDescent="0.2">
      <c r="B12" s="21"/>
    </row>
    <row r="13" spans="2:20" x14ac:dyDescent="0.2">
      <c r="B13" s="52" t="s">
        <v>134</v>
      </c>
    </row>
    <row r="14" spans="2:20" x14ac:dyDescent="0.2"/>
    <row r="15" spans="2:20" ht="15.75" x14ac:dyDescent="0.2">
      <c r="B15" s="70" t="s">
        <v>125</v>
      </c>
      <c r="C15" s="70"/>
      <c r="D15" s="71"/>
      <c r="E15" s="71"/>
      <c r="F15" s="70"/>
      <c r="G15" s="71"/>
      <c r="H15" s="71"/>
      <c r="I15" s="71"/>
      <c r="J15" s="71"/>
      <c r="K15" s="70"/>
      <c r="L15" s="71"/>
      <c r="M15" s="71"/>
      <c r="N15" s="71"/>
      <c r="O15" s="71"/>
      <c r="P15" s="70"/>
      <c r="Q15" s="71"/>
      <c r="R15" s="71"/>
      <c r="S15" s="71"/>
      <c r="T15" s="71"/>
    </row>
    <row r="16" spans="2:20" ht="5.65" customHeight="1" x14ac:dyDescent="0.2">
      <c r="D16" s="62"/>
      <c r="E16" s="62"/>
      <c r="G16" s="62"/>
      <c r="H16" s="62"/>
      <c r="I16" s="62"/>
      <c r="J16" s="62"/>
      <c r="L16" s="62"/>
      <c r="M16" s="62"/>
      <c r="N16" s="62"/>
      <c r="O16" s="62"/>
      <c r="Q16" s="62"/>
      <c r="R16" s="62"/>
      <c r="S16" s="62"/>
      <c r="T16" s="62"/>
    </row>
    <row r="17" spans="2:20" x14ac:dyDescent="0.2">
      <c r="D17" s="350" t="s">
        <v>113</v>
      </c>
      <c r="E17" s="351"/>
      <c r="G17" s="352" t="s">
        <v>115</v>
      </c>
      <c r="H17" s="353"/>
      <c r="I17" s="353"/>
      <c r="J17" s="354"/>
      <c r="L17" s="355" t="s">
        <v>120</v>
      </c>
      <c r="M17" s="356"/>
      <c r="N17" s="356"/>
      <c r="O17" s="357"/>
      <c r="Q17" s="358" t="s">
        <v>121</v>
      </c>
      <c r="R17" s="359"/>
      <c r="S17" s="359"/>
      <c r="T17" s="360"/>
    </row>
    <row r="18" spans="2:20" ht="5.65" customHeight="1" x14ac:dyDescent="0.2">
      <c r="D18" s="62"/>
      <c r="E18" s="62"/>
      <c r="G18" s="62"/>
      <c r="H18" s="62"/>
      <c r="I18" s="62"/>
      <c r="J18" s="62"/>
      <c r="L18" s="62"/>
      <c r="M18" s="62"/>
      <c r="N18" s="62"/>
      <c r="O18" s="62"/>
      <c r="Q18" s="62"/>
      <c r="R18" s="62"/>
      <c r="S18" s="62"/>
      <c r="T18" s="62"/>
    </row>
    <row r="19" spans="2:20" ht="15.75" x14ac:dyDescent="0.25">
      <c r="B19" s="361" t="s">
        <v>103</v>
      </c>
      <c r="D19" s="107" t="s">
        <v>114</v>
      </c>
      <c r="E19" s="143">
        <f ca="1">IF($B$3="","",INDEX(INDIRECT(INDEX(Calcs!$D:$D,MATCH($B$3,Calcs!$A:$A,0))),1,1))</f>
        <v>0.5</v>
      </c>
      <c r="F19" s="21"/>
      <c r="G19" s="99" t="s">
        <v>116</v>
      </c>
      <c r="H19" s="122">
        <f ca="1">IF($B$3="","",INDEX(INDIRECT(INDEX(Calcs!$D:$D,MATCH($B$3,Calcs!$A:$A,0))),1,1))</f>
        <v>0.5</v>
      </c>
      <c r="I19" s="102" t="s">
        <v>117</v>
      </c>
      <c r="J19" s="121">
        <f ca="1">IF($B$3="","",INDEX(INDIRECT(INDEX(Calcs!$D:$D,MATCH($B$3,Calcs!$A:$A,0))),1,2))</f>
        <v>0.53</v>
      </c>
      <c r="K19" s="21"/>
      <c r="L19" s="99" t="s">
        <v>116</v>
      </c>
      <c r="M19" s="122">
        <f ca="1">IF($B$3="","",INDEX(INDIRECT(INDEX(Calcs!$D:$D,MATCH($B$3,Calcs!$A:$A,0))),1,2))</f>
        <v>0.53</v>
      </c>
      <c r="N19" s="102" t="s">
        <v>117</v>
      </c>
      <c r="O19" s="121">
        <f ca="1">IF($B$3="","",INDEX(INDIRECT(INDEX(Calcs!$D:$D,MATCH($B$3,Calcs!$A:$A,0))),1,3))</f>
        <v>0.55500000000000005</v>
      </c>
      <c r="P19" s="21"/>
      <c r="Q19" s="99" t="s">
        <v>116</v>
      </c>
      <c r="R19" s="122">
        <f ca="1">IF($B$3="","",INDEX(INDIRECT(INDEX(Calcs!$D:$D,MATCH($B$3,Calcs!$A:$A,0))),1,3))</f>
        <v>0.55500000000000005</v>
      </c>
      <c r="S19" s="102" t="s">
        <v>117</v>
      </c>
      <c r="T19" s="121">
        <f ca="1">IF($B$3="","",INDEX(INDIRECT(INDEX(Calcs!$D:$D,MATCH($B$3,Calcs!$A:$A,0))),1,5))</f>
        <v>0.57499999999999996</v>
      </c>
    </row>
    <row r="20" spans="2:20" ht="15.75" x14ac:dyDescent="0.25">
      <c r="B20" s="362"/>
      <c r="D20" s="111" t="s">
        <v>119</v>
      </c>
      <c r="E20" s="136">
        <f ca="1">IF($B$3="","",INDEX(INDIRECT(INDEX(Calcs!$D:$D,MATCH($B$3,Calcs!$A:$A,0))),1,7))</f>
        <v>0.63500000000000001</v>
      </c>
      <c r="F20" s="21"/>
      <c r="G20" s="111" t="s">
        <v>118</v>
      </c>
      <c r="H20" s="123">
        <f ca="1">IF($B$3="","",INDEX(INDIRECT(INDEX(Calcs!$D:$D,MATCH($B$3,Calcs!$A:$A,0))),1,6))</f>
        <v>0.61</v>
      </c>
      <c r="I20" s="105" t="s">
        <v>117</v>
      </c>
      <c r="J20" s="136">
        <f ca="1">IF($B$3="","",INDEX(INDIRECT(INDEX(Calcs!$D:$D,MATCH($B$3,Calcs!$A:$A,0))),1,7))</f>
        <v>0.63500000000000001</v>
      </c>
      <c r="K20" s="21"/>
      <c r="L20" s="111" t="s">
        <v>118</v>
      </c>
      <c r="M20" s="123">
        <f ca="1">IF($B$3="","",INDEX(INDIRECT(INDEX(Calcs!$D:$D,MATCH($B$3,Calcs!$A:$A,0))),1,5))</f>
        <v>0.57499999999999996</v>
      </c>
      <c r="N20" s="105" t="s">
        <v>117</v>
      </c>
      <c r="O20" s="136">
        <f ca="1">IF($B$3="","",INDEX(INDIRECT(INDEX(Calcs!$D:$D,MATCH($B$3,Calcs!$A:$A,0))),1,6))</f>
        <v>0.61</v>
      </c>
      <c r="P20" s="21"/>
      <c r="Q20" s="111"/>
      <c r="R20" s="105"/>
      <c r="S20" s="105"/>
      <c r="T20" s="104"/>
    </row>
    <row r="21" spans="2:20" ht="5.45" customHeight="1" x14ac:dyDescent="0.2">
      <c r="B21" s="55"/>
      <c r="D21" s="21"/>
      <c r="E21" s="21"/>
      <c r="F21" s="21"/>
      <c r="G21" s="21"/>
      <c r="H21" s="21"/>
      <c r="I21" s="21"/>
      <c r="J21" s="21"/>
      <c r="K21" s="21"/>
      <c r="L21" s="21"/>
      <c r="M21" s="21"/>
      <c r="N21" s="21"/>
      <c r="O21" s="21"/>
      <c r="P21" s="21"/>
      <c r="Q21" s="21"/>
      <c r="R21" s="21"/>
      <c r="S21" s="21"/>
      <c r="T21" s="21"/>
    </row>
    <row r="22" spans="2:20" ht="15.75" x14ac:dyDescent="0.25">
      <c r="B22" s="361" t="s">
        <v>104</v>
      </c>
      <c r="D22" s="99" t="s">
        <v>122</v>
      </c>
      <c r="E22" s="121">
        <f ca="1">IF($B$3="","",INDEX(INDIRECT(INDEX(Calcs!$D:$D,MATCH($B$3,Calcs!$A:$A,0))),2,7))</f>
        <v>0.04</v>
      </c>
      <c r="F22" s="21"/>
      <c r="G22" s="99" t="s">
        <v>116</v>
      </c>
      <c r="H22" s="122">
        <f ca="1">IF($B$3="","",INDEX(INDIRECT(INDEX(Calcs!$D:$D,MATCH($B$3,Calcs!$A:$A,0))),2,6))</f>
        <v>0.03</v>
      </c>
      <c r="I22" s="102" t="s">
        <v>117</v>
      </c>
      <c r="J22" s="121">
        <f ca="1">IF($B$3="","",INDEX(INDIRECT(INDEX(Calcs!$D:$D,MATCH($B$3,Calcs!$A:$A,0))),2,7))</f>
        <v>0.04</v>
      </c>
      <c r="K22" s="21"/>
      <c r="L22" s="99" t="s">
        <v>116</v>
      </c>
      <c r="M22" s="122">
        <f ca="1">IF($B$3="","",INDEX(INDIRECT(INDEX(Calcs!$D:$D,MATCH($B$3,Calcs!$A:$A,0))),2,5))</f>
        <v>0.02</v>
      </c>
      <c r="N22" s="102" t="s">
        <v>117</v>
      </c>
      <c r="O22" s="121">
        <f ca="1">IF($B$3="","",INDEX(INDIRECT(INDEX(Calcs!$D:$D,MATCH($B$3,Calcs!$A:$A,0))),2,6))</f>
        <v>0.03</v>
      </c>
      <c r="P22" s="21"/>
      <c r="Q22" s="99" t="s">
        <v>116</v>
      </c>
      <c r="R22" s="122">
        <f ca="1">IF($B$3="","",INDEX(INDIRECT(INDEX(Calcs!$D:$D,MATCH($B$3,Calcs!$A:$A,0))),2,3))</f>
        <v>0.01</v>
      </c>
      <c r="S22" s="102" t="s">
        <v>117</v>
      </c>
      <c r="T22" s="121">
        <f ca="1">IF($B$3="","",INDEX(INDIRECT(INDEX(Calcs!$D:$D,MATCH($B$3,Calcs!$A:$A,0))),2,5))</f>
        <v>0.02</v>
      </c>
    </row>
    <row r="23" spans="2:20" ht="15.75" x14ac:dyDescent="0.25">
      <c r="B23" s="362"/>
      <c r="D23" s="111"/>
      <c r="E23" s="104"/>
      <c r="F23" s="21"/>
      <c r="G23" s="111"/>
      <c r="H23" s="105"/>
      <c r="I23" s="105"/>
      <c r="J23" s="104"/>
      <c r="K23" s="21"/>
      <c r="L23" s="111" t="s">
        <v>123</v>
      </c>
      <c r="M23" s="123">
        <f ca="1">IF($B$3="","",INDEX(INDIRECT(INDEX(Calcs!$D:$D,MATCH($B$3,Calcs!$A:$A,0))),2,3))</f>
        <v>0.01</v>
      </c>
      <c r="N23" s="105"/>
      <c r="O23" s="104"/>
      <c r="P23" s="21"/>
      <c r="Q23" s="111"/>
      <c r="R23" s="105"/>
      <c r="S23" s="105"/>
      <c r="T23" s="104"/>
    </row>
    <row r="24" spans="2:20" ht="5.25" customHeight="1" x14ac:dyDescent="0.2">
      <c r="B24" s="55"/>
      <c r="D24" s="21"/>
      <c r="E24" s="21"/>
      <c r="F24" s="21"/>
      <c r="G24" s="21"/>
      <c r="H24" s="21"/>
      <c r="I24" s="21"/>
      <c r="J24" s="21"/>
      <c r="K24" s="21"/>
      <c r="L24" s="21"/>
      <c r="M24" s="21"/>
      <c r="N24" s="21"/>
      <c r="O24" s="21"/>
      <c r="P24" s="21"/>
      <c r="Q24" s="21"/>
      <c r="R24" s="21"/>
      <c r="S24" s="21"/>
      <c r="T24" s="21"/>
    </row>
    <row r="25" spans="2:20" ht="15.75" x14ac:dyDescent="0.25">
      <c r="B25" s="361" t="s">
        <v>105</v>
      </c>
      <c r="D25" s="99" t="s">
        <v>122</v>
      </c>
      <c r="E25" s="121">
        <f ca="1">IF($B$3="","",INDEX(INDIRECT(INDEX(Calcs!$D:$D,MATCH($B$3,Calcs!$A:$A,0))),3,7))</f>
        <v>0.13</v>
      </c>
      <c r="F25" s="21"/>
      <c r="G25" s="99" t="s">
        <v>116</v>
      </c>
      <c r="H25" s="122">
        <f ca="1">IF($B$3="","",INDEX(INDIRECT(INDEX(Calcs!$D:$D,MATCH($B$3,Calcs!$A:$A,0))),3,6))</f>
        <v>0.115</v>
      </c>
      <c r="I25" s="102" t="s">
        <v>117</v>
      </c>
      <c r="J25" s="121">
        <f ca="1">IF($B$3="","",INDEX(INDIRECT(INDEX(Calcs!$D:$D,MATCH($B$3,Calcs!$A:$A,0))),3,7))</f>
        <v>0.13</v>
      </c>
      <c r="K25" s="21"/>
      <c r="L25" s="99" t="s">
        <v>116</v>
      </c>
      <c r="M25" s="122">
        <f ca="1">IF($B$3="","",INDEX(INDIRECT(INDEX(Calcs!$D:$D,MATCH($B$3,Calcs!$A:$A,0))),3,5))</f>
        <v>0.1</v>
      </c>
      <c r="N25" s="102" t="s">
        <v>117</v>
      </c>
      <c r="O25" s="121">
        <f ca="1">IF($B$3="","",INDEX(INDIRECT(INDEX(Calcs!$D:$D,MATCH($B$3,Calcs!$A:$A,0))),3,6))</f>
        <v>0.115</v>
      </c>
      <c r="P25" s="21"/>
      <c r="Q25" s="99" t="s">
        <v>116</v>
      </c>
      <c r="R25" s="122">
        <f ca="1">IF($B$3="","",INDEX(INDIRECT(INDEX(Calcs!$D:$D,MATCH($B$3,Calcs!$A:$A,0))),3,3))</f>
        <v>8.5000000000000006E-2</v>
      </c>
      <c r="S25" s="102" t="s">
        <v>117</v>
      </c>
      <c r="T25" s="121">
        <f ca="1">IF($B$3="","",INDEX(INDIRECT(INDEX(Calcs!$D:$D,MATCH($B$3,Calcs!$A:$A,0))),3,5))</f>
        <v>0.1</v>
      </c>
    </row>
    <row r="26" spans="2:20" ht="15.75" x14ac:dyDescent="0.25">
      <c r="B26" s="362"/>
      <c r="D26" s="111"/>
      <c r="E26" s="104"/>
      <c r="F26" s="21"/>
      <c r="G26" s="111"/>
      <c r="H26" s="105"/>
      <c r="I26" s="105"/>
      <c r="J26" s="104"/>
      <c r="K26" s="21"/>
      <c r="L26" s="111" t="s">
        <v>123</v>
      </c>
      <c r="M26" s="123">
        <f ca="1">IF($B$3="","",INDEX(INDIRECT(INDEX(Calcs!$D:$D,MATCH($B$3,Calcs!$A:$A,0))),3,3))</f>
        <v>8.5000000000000006E-2</v>
      </c>
      <c r="N26" s="105"/>
      <c r="O26" s="104"/>
      <c r="P26" s="21"/>
      <c r="Q26" s="111"/>
      <c r="R26" s="105"/>
      <c r="S26" s="105"/>
      <c r="T26" s="104"/>
    </row>
    <row r="27" spans="2:20" ht="5.25" customHeight="1" x14ac:dyDescent="0.2">
      <c r="B27" s="55"/>
      <c r="D27" s="21"/>
      <c r="E27" s="21"/>
      <c r="F27" s="21"/>
      <c r="G27" s="21"/>
      <c r="H27" s="21"/>
      <c r="I27" s="21"/>
      <c r="J27" s="21"/>
      <c r="K27" s="21"/>
      <c r="L27" s="21"/>
      <c r="M27" s="21"/>
      <c r="N27" s="21"/>
      <c r="O27" s="21"/>
      <c r="P27" s="21"/>
      <c r="Q27" s="21"/>
      <c r="R27" s="21"/>
      <c r="S27" s="21"/>
      <c r="T27" s="21"/>
    </row>
    <row r="28" spans="2:20" ht="15.75" x14ac:dyDescent="0.25">
      <c r="B28" s="361" t="s">
        <v>106</v>
      </c>
      <c r="D28" s="99" t="s">
        <v>122</v>
      </c>
      <c r="E28" s="121">
        <f ca="1">IF($B$3="","",INDEX(INDIRECT(INDEX(Calcs!$D:$D,MATCH($B$3,Calcs!$A:$A,0))),4,7))</f>
        <v>0.1</v>
      </c>
      <c r="F28" s="21"/>
      <c r="G28" s="99" t="s">
        <v>116</v>
      </c>
      <c r="H28" s="122">
        <f ca="1">IF($B$3="","",INDEX(INDIRECT(INDEX(Calcs!$D:$D,MATCH($B$3,Calcs!$A:$A,0))),4,6))</f>
        <v>0.08</v>
      </c>
      <c r="I28" s="102" t="s">
        <v>117</v>
      </c>
      <c r="J28" s="121">
        <f ca="1">IF($B$3="","",INDEX(INDIRECT(INDEX(Calcs!$D:$D,MATCH($B$3,Calcs!$A:$A,0))),4,7))</f>
        <v>0.1</v>
      </c>
      <c r="K28" s="21"/>
      <c r="L28" s="99" t="s">
        <v>114</v>
      </c>
      <c r="M28" s="122">
        <f ca="1">IF($B$3="","",INDEX(INDIRECT(INDEX(Calcs!$D:$D,MATCH($B$3,Calcs!$A:$A,0))),4,6))</f>
        <v>0.08</v>
      </c>
      <c r="N28" s="102"/>
      <c r="O28" s="134"/>
      <c r="P28" s="21"/>
      <c r="Q28" s="99"/>
      <c r="R28" s="102"/>
      <c r="S28" s="102"/>
      <c r="T28" s="134"/>
    </row>
    <row r="29" spans="2:20" x14ac:dyDescent="0.2">
      <c r="B29" s="362"/>
      <c r="D29" s="111"/>
      <c r="E29" s="104"/>
      <c r="F29" s="21"/>
      <c r="G29" s="111"/>
      <c r="H29" s="105"/>
      <c r="I29" s="105"/>
      <c r="J29" s="104"/>
      <c r="K29" s="21"/>
      <c r="L29" s="111"/>
      <c r="M29" s="105"/>
      <c r="N29" s="105"/>
      <c r="O29" s="104"/>
      <c r="P29" s="21"/>
      <c r="Q29" s="111"/>
      <c r="R29" s="105"/>
      <c r="S29" s="105"/>
      <c r="T29" s="104"/>
    </row>
    <row r="30" spans="2:20" ht="5.25" customHeight="1" x14ac:dyDescent="0.2">
      <c r="B30" s="55"/>
      <c r="D30" s="21"/>
      <c r="E30" s="21"/>
      <c r="F30" s="21"/>
      <c r="G30" s="21"/>
      <c r="H30" s="21"/>
      <c r="I30" s="21"/>
      <c r="J30" s="21"/>
      <c r="K30" s="21"/>
      <c r="L30" s="21"/>
      <c r="M30" s="21"/>
      <c r="N30" s="21"/>
      <c r="O30" s="21"/>
      <c r="P30" s="21"/>
      <c r="Q30" s="21"/>
      <c r="R30" s="21"/>
      <c r="S30" s="21"/>
      <c r="T30" s="21"/>
    </row>
    <row r="31" spans="2:20" ht="15.75" x14ac:dyDescent="0.25">
      <c r="B31" s="361" t="s">
        <v>107</v>
      </c>
      <c r="D31" s="99" t="s">
        <v>122</v>
      </c>
      <c r="E31" s="121">
        <f ca="1">IF($B$3="","",INDEX(INDIRECT(INDEX(Calcs!$D:$D,MATCH($B$3,Calcs!$A:$A,0))),5,7))</f>
        <v>0.05</v>
      </c>
      <c r="F31" s="21"/>
      <c r="G31" s="99" t="s">
        <v>116</v>
      </c>
      <c r="H31" s="122">
        <f ca="1">IF($B$3="","",INDEX(INDIRECT(INDEX(Calcs!$D:$D,MATCH($B$3,Calcs!$A:$A,0))),5,6))</f>
        <v>0.03</v>
      </c>
      <c r="I31" s="102" t="s">
        <v>117</v>
      </c>
      <c r="J31" s="121">
        <f ca="1">IF($B$3="","",INDEX(INDIRECT(INDEX(Calcs!$D:$D,MATCH($B$3,Calcs!$A:$A,0))),5,7))</f>
        <v>0.05</v>
      </c>
      <c r="K31" s="21"/>
      <c r="L31" s="99" t="s">
        <v>114</v>
      </c>
      <c r="M31" s="122">
        <f ca="1">IF($B$3="","",INDEX(INDIRECT(INDEX(Calcs!$D:$D,MATCH($B$3,Calcs!$A:$A,0))),5,6))</f>
        <v>0.03</v>
      </c>
      <c r="N31" s="102"/>
      <c r="O31" s="134"/>
      <c r="P31" s="21"/>
      <c r="Q31" s="99"/>
      <c r="R31" s="102"/>
      <c r="S31" s="102"/>
      <c r="T31" s="134"/>
    </row>
    <row r="32" spans="2:20" x14ac:dyDescent="0.2">
      <c r="B32" s="362"/>
      <c r="D32" s="111"/>
      <c r="E32" s="104"/>
      <c r="F32" s="21"/>
      <c r="G32" s="111"/>
      <c r="H32" s="105"/>
      <c r="I32" s="105"/>
      <c r="J32" s="104"/>
      <c r="K32" s="21"/>
      <c r="L32" s="111"/>
      <c r="M32" s="105"/>
      <c r="N32" s="105"/>
      <c r="O32" s="104"/>
      <c r="P32" s="21"/>
      <c r="Q32" s="111"/>
      <c r="R32" s="105"/>
      <c r="S32" s="105"/>
      <c r="T32" s="104"/>
    </row>
    <row r="33" spans="2:20" ht="5.25" customHeight="1" x14ac:dyDescent="0.2">
      <c r="B33" s="55"/>
      <c r="D33" s="21"/>
      <c r="E33" s="21"/>
      <c r="F33" s="21"/>
      <c r="G33" s="21"/>
      <c r="H33" s="21"/>
      <c r="I33" s="21"/>
      <c r="J33" s="21"/>
      <c r="K33" s="21"/>
      <c r="L33" s="21"/>
      <c r="M33" s="21"/>
      <c r="N33" s="21"/>
      <c r="O33" s="21"/>
      <c r="P33" s="21"/>
      <c r="Q33" s="21"/>
      <c r="R33" s="21"/>
      <c r="S33" s="21"/>
      <c r="T33" s="21"/>
    </row>
    <row r="34" spans="2:20" ht="15.75" x14ac:dyDescent="0.25">
      <c r="B34" s="361" t="s">
        <v>108</v>
      </c>
      <c r="D34" s="99" t="s">
        <v>122</v>
      </c>
      <c r="E34" s="121">
        <f ca="1">IF($B$3="","",INDEX(INDIRECT(INDEX(Calcs!$D:$D,MATCH($B$3,Calcs!$A:$A,0))),6,7))</f>
        <v>8.5000000000000006E-2</v>
      </c>
      <c r="F34" s="21"/>
      <c r="G34" s="99" t="s">
        <v>116</v>
      </c>
      <c r="H34" s="122">
        <f ca="1">IF($B$3="","",INDEX(INDIRECT(INDEX(Calcs!$D:$D,MATCH($B$3,Calcs!$A:$A,0))),6,6))</f>
        <v>6.5000000000000002E-2</v>
      </c>
      <c r="I34" s="102" t="s">
        <v>117</v>
      </c>
      <c r="J34" s="121">
        <f ca="1">IF($B$3="","",INDEX(INDIRECT(INDEX(Calcs!$D:$D,MATCH($B$3,Calcs!$A:$A,0))),6,7))</f>
        <v>8.5000000000000006E-2</v>
      </c>
      <c r="K34" s="21"/>
      <c r="L34" s="99" t="s">
        <v>114</v>
      </c>
      <c r="M34" s="122">
        <f ca="1">IF($B$3="","",INDEX(INDIRECT(INDEX(Calcs!$D:$D,MATCH($B$3,Calcs!$A:$A,0))),6,6))</f>
        <v>6.5000000000000002E-2</v>
      </c>
      <c r="N34" s="102"/>
      <c r="O34" s="134"/>
      <c r="P34" s="21"/>
      <c r="Q34" s="99"/>
      <c r="R34" s="102"/>
      <c r="S34" s="102"/>
      <c r="T34" s="134"/>
    </row>
    <row r="35" spans="2:20" x14ac:dyDescent="0.2">
      <c r="B35" s="362"/>
      <c r="D35" s="111"/>
      <c r="E35" s="104"/>
      <c r="F35" s="21"/>
      <c r="G35" s="111"/>
      <c r="H35" s="105"/>
      <c r="I35" s="105"/>
      <c r="J35" s="104"/>
      <c r="K35" s="21"/>
      <c r="L35" s="111"/>
      <c r="M35" s="105"/>
      <c r="N35" s="105"/>
      <c r="O35" s="104"/>
      <c r="P35" s="21"/>
      <c r="Q35" s="111"/>
      <c r="R35" s="105"/>
      <c r="S35" s="105"/>
      <c r="T35" s="104"/>
    </row>
    <row r="36" spans="2:20" ht="5.25" customHeight="1" x14ac:dyDescent="0.2">
      <c r="B36" s="55"/>
      <c r="D36" s="21"/>
      <c r="E36" s="21"/>
      <c r="F36" s="21"/>
      <c r="G36" s="21"/>
      <c r="H36" s="21"/>
      <c r="I36" s="21"/>
      <c r="J36" s="21"/>
      <c r="K36" s="21"/>
      <c r="L36" s="21"/>
      <c r="M36" s="21"/>
      <c r="N36" s="21"/>
      <c r="O36" s="21"/>
      <c r="P36" s="21"/>
      <c r="Q36" s="21"/>
      <c r="R36" s="21"/>
      <c r="S36" s="21"/>
      <c r="T36" s="21"/>
    </row>
    <row r="37" spans="2:20" ht="15.75" x14ac:dyDescent="0.25">
      <c r="B37" s="361" t="s">
        <v>109</v>
      </c>
      <c r="D37" s="99" t="s">
        <v>114</v>
      </c>
      <c r="E37" s="121">
        <f ca="1">IF($B$3="","",INDEX(INDIRECT(INDEX(Calcs!$D:$D,MATCH($B$3,Calcs!$A:$A,0))),7,1))</f>
        <v>4.4999999999999998E-2</v>
      </c>
      <c r="F37" s="21"/>
      <c r="G37" s="99" t="s">
        <v>116</v>
      </c>
      <c r="H37" s="122">
        <f ca="1">IF($B$3="","",INDEX(INDIRECT(INDEX(Calcs!$D:$D,MATCH($B$3,Calcs!$A:$A,0))),7,1))</f>
        <v>4.4999999999999998E-2</v>
      </c>
      <c r="I37" s="102" t="s">
        <v>117</v>
      </c>
      <c r="J37" s="121">
        <f ca="1">IF($B$3="","",INDEX(INDIRECT(INDEX(Calcs!$D:$D,MATCH($B$3,Calcs!$A:$A,0))),7,2))</f>
        <v>5.5E-2</v>
      </c>
      <c r="K37" s="21"/>
      <c r="L37" s="99" t="s">
        <v>116</v>
      </c>
      <c r="M37" s="122">
        <f ca="1">IF($B$3="","",INDEX(INDIRECT(INDEX(Calcs!$D:$D,MATCH($B$3,Calcs!$A:$A,0))),7,2))</f>
        <v>5.5E-2</v>
      </c>
      <c r="N37" s="102" t="s">
        <v>117</v>
      </c>
      <c r="O37" s="121">
        <f ca="1">IF($B$3="","",INDEX(INDIRECT(INDEX(Calcs!$D:$D,MATCH($B$3,Calcs!$A:$A,0))),7,3))</f>
        <v>6.5000000000000002E-2</v>
      </c>
      <c r="P37" s="21"/>
      <c r="Q37" s="99" t="s">
        <v>116</v>
      </c>
      <c r="R37" s="122">
        <f ca="1">IF($B$3="","",INDEX(INDIRECT(INDEX(Calcs!$D:$D,MATCH($B$3,Calcs!$A:$A,0))),7,3))</f>
        <v>6.5000000000000002E-2</v>
      </c>
      <c r="S37" s="102" t="s">
        <v>117</v>
      </c>
      <c r="T37" s="121">
        <f ca="1">IF($B$3="","",INDEX(INDIRECT(INDEX(Calcs!$D:$D,MATCH($B$3,Calcs!$A:$A,0))),7,5))</f>
        <v>7.4999999999999997E-2</v>
      </c>
    </row>
    <row r="38" spans="2:20" ht="15.75" x14ac:dyDescent="0.25">
      <c r="B38" s="362"/>
      <c r="D38" s="111"/>
      <c r="E38" s="104"/>
      <c r="F38" s="21"/>
      <c r="G38" s="111"/>
      <c r="H38" s="105"/>
      <c r="I38" s="105"/>
      <c r="J38" s="104"/>
      <c r="K38" s="21"/>
      <c r="L38" s="111" t="s">
        <v>124</v>
      </c>
      <c r="M38" s="123">
        <f ca="1">IF($B$3="","",INDEX(INDIRECT(INDEX(Calcs!$D:$D,MATCH($B$3,Calcs!$A:$A,0))),7,5))</f>
        <v>7.4999999999999997E-2</v>
      </c>
      <c r="N38" s="105"/>
      <c r="O38" s="104"/>
      <c r="P38" s="21"/>
      <c r="Q38" s="111"/>
      <c r="R38" s="105"/>
      <c r="S38" s="105"/>
      <c r="T38" s="104"/>
    </row>
    <row r="39" spans="2:20" ht="5.25" customHeight="1" x14ac:dyDescent="0.2">
      <c r="B39" s="55"/>
      <c r="D39" s="21"/>
      <c r="E39" s="21"/>
      <c r="F39" s="21"/>
      <c r="G39" s="21"/>
      <c r="H39" s="21"/>
      <c r="I39" s="21"/>
      <c r="J39" s="21"/>
      <c r="K39" s="21"/>
      <c r="L39" s="21"/>
      <c r="M39" s="21"/>
      <c r="N39" s="21"/>
      <c r="O39" s="21"/>
      <c r="P39" s="21"/>
      <c r="Q39" s="21"/>
      <c r="R39" s="21"/>
      <c r="S39" s="21"/>
      <c r="T39" s="21"/>
    </row>
    <row r="40" spans="2:20" ht="15.75" x14ac:dyDescent="0.25">
      <c r="B40" s="361" t="s">
        <v>110</v>
      </c>
      <c r="D40" s="99" t="s">
        <v>122</v>
      </c>
      <c r="E40" s="121">
        <f ca="1">IF($B$3="","",INDEX(INDIRECT(INDEX(Calcs!$D:$D,MATCH($B$3,Calcs!$A:$A,0))),8,7))</f>
        <v>0.02</v>
      </c>
      <c r="F40" s="21"/>
      <c r="G40" s="99" t="s">
        <v>116</v>
      </c>
      <c r="H40" s="122">
        <f ca="1">IF($B$3="","",INDEX(INDIRECT(INDEX(Calcs!$D:$D,MATCH($B$3,Calcs!$A:$A,0))),8,6))</f>
        <v>1.4999999999999999E-2</v>
      </c>
      <c r="I40" s="102" t="s">
        <v>117</v>
      </c>
      <c r="J40" s="121">
        <f ca="1">IF($B$3="","",INDEX(INDIRECT(INDEX(Calcs!$D:$D,MATCH($B$3,Calcs!$A:$A,0))),8,7))</f>
        <v>0.02</v>
      </c>
      <c r="K40" s="21"/>
      <c r="L40" s="99" t="s">
        <v>114</v>
      </c>
      <c r="M40" s="122">
        <f ca="1">IF($B$3="","",INDEX(INDIRECT(INDEX(Calcs!$D:$D,MATCH($B$3,Calcs!$A:$A,0))),8,6))</f>
        <v>1.4999999999999999E-2</v>
      </c>
      <c r="N40" s="102"/>
      <c r="O40" s="134"/>
      <c r="P40" s="21"/>
      <c r="Q40" s="99"/>
      <c r="R40" s="102"/>
      <c r="S40" s="102"/>
      <c r="T40" s="134"/>
    </row>
    <row r="41" spans="2:20" ht="15" customHeight="1" x14ac:dyDescent="0.2">
      <c r="B41" s="362"/>
      <c r="D41" s="111"/>
      <c r="E41" s="104"/>
      <c r="F41" s="21"/>
      <c r="G41" s="111"/>
      <c r="H41" s="105"/>
      <c r="I41" s="105"/>
      <c r="J41" s="104"/>
      <c r="K41" s="21"/>
      <c r="L41" s="111"/>
      <c r="M41" s="105"/>
      <c r="N41" s="105"/>
      <c r="O41" s="104"/>
      <c r="P41" s="21"/>
      <c r="Q41" s="111"/>
      <c r="R41" s="105"/>
      <c r="S41" s="105"/>
      <c r="T41" s="104"/>
    </row>
    <row r="42" spans="2:20" ht="5.25" customHeight="1" x14ac:dyDescent="0.2">
      <c r="B42" s="53"/>
    </row>
    <row r="43" spans="2:20" ht="15" customHeight="1" x14ac:dyDescent="0.2">
      <c r="B43" s="53"/>
    </row>
    <row r="44" spans="2:20" ht="15.75" x14ac:dyDescent="0.2">
      <c r="B44" s="70" t="s">
        <v>50</v>
      </c>
      <c r="C44" s="70"/>
      <c r="D44" s="71"/>
      <c r="E44" s="71"/>
      <c r="F44" s="70"/>
      <c r="G44" s="71"/>
      <c r="H44" s="71"/>
      <c r="I44" s="71"/>
      <c r="J44" s="71"/>
      <c r="K44" s="70"/>
      <c r="L44" s="71"/>
      <c r="M44" s="71"/>
      <c r="N44" s="71"/>
      <c r="O44" s="71"/>
      <c r="P44" s="70"/>
      <c r="Q44" s="71"/>
      <c r="R44" s="71"/>
      <c r="S44" s="71"/>
      <c r="T44" s="71"/>
    </row>
    <row r="45" spans="2:20" ht="5.65" customHeight="1" x14ac:dyDescent="0.2">
      <c r="D45" s="62"/>
      <c r="E45" s="62"/>
      <c r="G45" s="62"/>
      <c r="H45" s="62"/>
      <c r="I45" s="62"/>
      <c r="J45" s="62"/>
      <c r="L45" s="62"/>
      <c r="M45" s="62"/>
      <c r="N45" s="62"/>
      <c r="O45" s="62"/>
      <c r="Q45" s="62"/>
      <c r="R45" s="62"/>
      <c r="S45" s="62"/>
      <c r="T45" s="62"/>
    </row>
    <row r="46" spans="2:20" x14ac:dyDescent="0.2">
      <c r="D46" s="350" t="s">
        <v>113</v>
      </c>
      <c r="E46" s="351"/>
      <c r="G46" s="352" t="s">
        <v>115</v>
      </c>
      <c r="H46" s="353"/>
      <c r="I46" s="353"/>
      <c r="J46" s="354"/>
      <c r="L46" s="355" t="s">
        <v>120</v>
      </c>
      <c r="M46" s="356"/>
      <c r="N46" s="356"/>
      <c r="O46" s="357"/>
      <c r="Q46" s="358" t="s">
        <v>121</v>
      </c>
      <c r="R46" s="359"/>
      <c r="S46" s="359"/>
      <c r="T46" s="360"/>
    </row>
    <row r="47" spans="2:20" ht="5.65" customHeight="1" x14ac:dyDescent="0.2">
      <c r="D47" s="62"/>
      <c r="E47" s="62"/>
      <c r="G47" s="62"/>
      <c r="H47" s="62"/>
      <c r="I47" s="62"/>
      <c r="J47" s="62"/>
      <c r="L47" s="62"/>
      <c r="M47" s="62"/>
      <c r="N47" s="62"/>
      <c r="O47" s="62"/>
      <c r="Q47" s="62"/>
      <c r="R47" s="62"/>
      <c r="S47" s="62"/>
      <c r="T47" s="62"/>
    </row>
    <row r="48" spans="2:20" ht="15.75" x14ac:dyDescent="0.25">
      <c r="B48" s="361" t="s">
        <v>111</v>
      </c>
      <c r="D48" s="99" t="s">
        <v>114</v>
      </c>
      <c r="E48" s="121">
        <f>IF($B$3="","",-0.05)</f>
        <v>-0.05</v>
      </c>
      <c r="F48" s="128"/>
      <c r="G48" s="208" t="s">
        <v>116</v>
      </c>
      <c r="H48" s="122">
        <f>IF($B$3="","",-0.05)</f>
        <v>-0.05</v>
      </c>
      <c r="I48" s="209" t="s">
        <v>117</v>
      </c>
      <c r="J48" s="121">
        <f>IF($B$3="","",0)</f>
        <v>0</v>
      </c>
      <c r="K48" s="128"/>
      <c r="L48" s="208" t="s">
        <v>163</v>
      </c>
      <c r="M48" s="135">
        <f>IF($B$3="","",0)</f>
        <v>0</v>
      </c>
      <c r="N48" s="102"/>
      <c r="O48" s="134"/>
      <c r="P48" s="21"/>
      <c r="Q48" s="99"/>
      <c r="R48" s="102"/>
      <c r="S48" s="102"/>
      <c r="T48" s="134"/>
    </row>
    <row r="49" spans="2:20" x14ac:dyDescent="0.2">
      <c r="B49" s="362"/>
      <c r="D49" s="111"/>
      <c r="E49" s="210"/>
      <c r="F49" s="128"/>
      <c r="G49" s="211"/>
      <c r="H49" s="212"/>
      <c r="I49" s="212"/>
      <c r="J49" s="210"/>
      <c r="K49" s="128"/>
      <c r="L49" s="211"/>
      <c r="M49" s="213"/>
      <c r="N49" s="105"/>
      <c r="O49" s="104"/>
      <c r="P49" s="21"/>
      <c r="Q49" s="111"/>
      <c r="R49" s="105"/>
      <c r="S49" s="105"/>
      <c r="T49" s="104"/>
    </row>
    <row r="50" spans="2:20" ht="5.25" customHeight="1" x14ac:dyDescent="0.2">
      <c r="B50" s="55"/>
      <c r="D50" s="21"/>
      <c r="E50" s="128"/>
      <c r="F50" s="128"/>
      <c r="G50" s="128"/>
      <c r="H50" s="128"/>
      <c r="I50" s="128"/>
      <c r="J50" s="128"/>
      <c r="K50" s="128"/>
      <c r="L50" s="128"/>
      <c r="M50" s="214"/>
      <c r="N50" s="21"/>
      <c r="O50" s="21"/>
      <c r="P50" s="21"/>
      <c r="Q50" s="21"/>
      <c r="R50" s="21"/>
      <c r="S50" s="21"/>
      <c r="T50" s="21"/>
    </row>
    <row r="51" spans="2:20" ht="15.75" x14ac:dyDescent="0.25">
      <c r="B51" s="361" t="s">
        <v>112</v>
      </c>
      <c r="D51" s="99" t="s">
        <v>114</v>
      </c>
      <c r="E51" s="121">
        <f>IF($B$3="","",-0.05)</f>
        <v>-0.05</v>
      </c>
      <c r="F51" s="128"/>
      <c r="G51" s="208" t="s">
        <v>116</v>
      </c>
      <c r="H51" s="122">
        <f>IF($B$3="","",-0.05)</f>
        <v>-0.05</v>
      </c>
      <c r="I51" s="209" t="s">
        <v>117</v>
      </c>
      <c r="J51" s="121">
        <f>IF($B$3="","",0)</f>
        <v>0</v>
      </c>
      <c r="K51" s="128"/>
      <c r="L51" s="208" t="s">
        <v>163</v>
      </c>
      <c r="M51" s="135">
        <f>IF($B$3="","",0)</f>
        <v>0</v>
      </c>
      <c r="N51" s="102"/>
      <c r="O51" s="134"/>
      <c r="P51" s="21"/>
      <c r="Q51" s="99"/>
      <c r="R51" s="102"/>
      <c r="S51" s="102"/>
      <c r="T51" s="134"/>
    </row>
    <row r="52" spans="2:20" x14ac:dyDescent="0.2">
      <c r="B52" s="362"/>
      <c r="D52" s="111"/>
      <c r="E52" s="104"/>
      <c r="F52" s="21"/>
      <c r="G52" s="111"/>
      <c r="H52" s="105"/>
      <c r="I52" s="105"/>
      <c r="J52" s="104"/>
      <c r="K52" s="21"/>
      <c r="L52" s="111"/>
      <c r="M52" s="105"/>
      <c r="N52" s="105"/>
      <c r="O52" s="104"/>
      <c r="P52" s="21"/>
      <c r="Q52" s="111"/>
      <c r="R52" s="105"/>
      <c r="S52" s="105"/>
      <c r="T52" s="104"/>
    </row>
    <row r="53" spans="2:20" ht="5.25" customHeight="1" x14ac:dyDescent="0.2">
      <c r="B53" s="53"/>
    </row>
    <row r="54" spans="2:20" ht="15" customHeight="1" x14ac:dyDescent="0.2">
      <c r="B54" s="53"/>
    </row>
    <row r="55" spans="2:20" ht="15.75" x14ac:dyDescent="0.2">
      <c r="B55" s="70" t="s">
        <v>51</v>
      </c>
      <c r="C55" s="70"/>
      <c r="D55" s="71"/>
      <c r="E55" s="71"/>
      <c r="F55" s="70"/>
      <c r="G55" s="71"/>
      <c r="H55" s="71"/>
      <c r="I55" s="71"/>
      <c r="J55" s="71"/>
      <c r="K55" s="70"/>
      <c r="L55" s="71"/>
      <c r="M55" s="71"/>
      <c r="N55" s="71"/>
      <c r="O55" s="71"/>
      <c r="P55" s="70"/>
      <c r="Q55" s="71"/>
      <c r="R55" s="71"/>
      <c r="S55" s="71"/>
      <c r="T55" s="71"/>
    </row>
    <row r="56" spans="2:20" ht="5.65" customHeight="1" x14ac:dyDescent="0.2">
      <c r="D56" s="62"/>
      <c r="E56" s="62"/>
      <c r="G56" s="62"/>
      <c r="H56" s="62"/>
      <c r="I56" s="62"/>
      <c r="J56" s="62"/>
      <c r="L56" s="62"/>
      <c r="M56" s="62"/>
      <c r="N56" s="62"/>
      <c r="O56" s="62"/>
      <c r="Q56" s="62"/>
      <c r="R56" s="62"/>
      <c r="S56" s="62"/>
      <c r="T56" s="62"/>
    </row>
    <row r="57" spans="2:20" x14ac:dyDescent="0.2">
      <c r="D57" s="350" t="s">
        <v>113</v>
      </c>
      <c r="E57" s="351"/>
      <c r="G57" s="352" t="s">
        <v>115</v>
      </c>
      <c r="H57" s="353"/>
      <c r="I57" s="353"/>
      <c r="J57" s="354"/>
      <c r="L57" s="355" t="s">
        <v>120</v>
      </c>
      <c r="M57" s="356"/>
      <c r="N57" s="356"/>
      <c r="O57" s="357"/>
      <c r="Q57" s="358" t="s">
        <v>121</v>
      </c>
      <c r="R57" s="359"/>
      <c r="S57" s="359"/>
      <c r="T57" s="360"/>
    </row>
    <row r="58" spans="2:20" ht="5.65" customHeight="1" x14ac:dyDescent="0.2">
      <c r="D58" s="62"/>
      <c r="E58" s="62"/>
      <c r="G58" s="62"/>
      <c r="H58" s="62"/>
      <c r="I58" s="62"/>
      <c r="J58" s="62"/>
      <c r="L58" s="62"/>
      <c r="M58" s="62"/>
      <c r="N58" s="62"/>
      <c r="O58" s="62"/>
      <c r="Q58" s="62"/>
      <c r="R58" s="62"/>
      <c r="S58" s="62"/>
      <c r="T58" s="62"/>
    </row>
    <row r="59" spans="2:20" ht="15.75" x14ac:dyDescent="0.25">
      <c r="B59" s="361" t="s">
        <v>33</v>
      </c>
      <c r="D59" s="99" t="s">
        <v>114</v>
      </c>
      <c r="E59" s="117">
        <f ca="1">IF($B$3="","",INDEX(INDIRECT(INDEX(Calcs!$D:$D,MATCH($B$3,Calcs!$A:$A,0))),13,1))</f>
        <v>51000</v>
      </c>
      <c r="F59" s="21"/>
      <c r="G59" s="99" t="s">
        <v>116</v>
      </c>
      <c r="H59" s="118">
        <f ca="1">IF($B$3="","",INDEX(INDIRECT(INDEX(Calcs!$D:$D,MATCH($B$3,Calcs!$A:$A,0))),13,1))</f>
        <v>51000</v>
      </c>
      <c r="I59" s="102" t="s">
        <v>117</v>
      </c>
      <c r="J59" s="117">
        <f ca="1">IF($B$3="","",INDEX(INDIRECT(INDEX(Calcs!$D:$D,MATCH($B$3,Calcs!$A:$A,0))),13,2))</f>
        <v>53500</v>
      </c>
      <c r="K59" s="21"/>
      <c r="L59" s="99" t="s">
        <v>116</v>
      </c>
      <c r="M59" s="118">
        <f ca="1">IF($B$3="","",INDEX(INDIRECT(INDEX(Calcs!$D:$D,MATCH($B$3,Calcs!$A:$A,0))),13,2))</f>
        <v>53500</v>
      </c>
      <c r="N59" s="102" t="s">
        <v>117</v>
      </c>
      <c r="O59" s="117">
        <f ca="1">IF($B$3="","",INDEX(INDIRECT(INDEX(Calcs!$D:$D,MATCH($B$3,Calcs!$A:$A,0))),13,3))</f>
        <v>56000</v>
      </c>
      <c r="P59" s="21"/>
      <c r="Q59" s="99" t="s">
        <v>116</v>
      </c>
      <c r="R59" s="118">
        <f ca="1">IF($B$3="","",INDEX(INDIRECT(INDEX(Calcs!$D:$D,MATCH($B$3,Calcs!$A:$A,0))),13,3))</f>
        <v>56000</v>
      </c>
      <c r="S59" s="102" t="s">
        <v>117</v>
      </c>
      <c r="T59" s="117">
        <f ca="1">IF($B$3="","",INDEX(INDIRECT(INDEX(Calcs!$D:$D,MATCH($B$3,Calcs!$A:$A,0))),13,5))</f>
        <v>58000</v>
      </c>
    </row>
    <row r="60" spans="2:20" ht="15.75" x14ac:dyDescent="0.25">
      <c r="B60" s="362"/>
      <c r="D60" s="111" t="s">
        <v>119</v>
      </c>
      <c r="E60" s="119">
        <f ca="1">IF($B$3="","",INDEX(INDIRECT(INDEX(Calcs!$D:$D,MATCH($B$3,Calcs!$A:$A,0))),13,7))</f>
        <v>62500</v>
      </c>
      <c r="F60" s="21"/>
      <c r="G60" s="111" t="s">
        <v>118</v>
      </c>
      <c r="H60" s="120">
        <f ca="1">IF($B$3="","",INDEX(INDIRECT(INDEX(Calcs!$D:$D,MATCH($B$3,Calcs!$A:$A,0))),13,6))</f>
        <v>60500</v>
      </c>
      <c r="I60" s="105" t="s">
        <v>117</v>
      </c>
      <c r="J60" s="119">
        <f ca="1">IF($B$3="","",INDEX(INDIRECT(INDEX(Calcs!$D:$D,MATCH($B$3,Calcs!$A:$A,0))),13,7))</f>
        <v>62500</v>
      </c>
      <c r="K60" s="21"/>
      <c r="L60" s="111" t="s">
        <v>118</v>
      </c>
      <c r="M60" s="120">
        <f ca="1">IF($B$3="","",INDEX(INDIRECT(INDEX(Calcs!$D:$D,MATCH($B$3,Calcs!$A:$A,0))),13,5))</f>
        <v>58000</v>
      </c>
      <c r="N60" s="105" t="s">
        <v>117</v>
      </c>
      <c r="O60" s="119">
        <f ca="1">IF($B$3="","",INDEX(INDIRECT(INDEX(Calcs!$D:$D,MATCH($B$3,Calcs!$A:$A,0))),13,6))</f>
        <v>60500</v>
      </c>
      <c r="P60" s="21"/>
      <c r="Q60" s="111"/>
      <c r="R60" s="105"/>
      <c r="S60" s="105"/>
      <c r="T60" s="104"/>
    </row>
    <row r="61" spans="2:20" ht="5.25" customHeight="1" x14ac:dyDescent="0.2">
      <c r="B61" s="55"/>
      <c r="D61" s="21"/>
      <c r="E61" s="21"/>
      <c r="F61" s="21"/>
      <c r="G61" s="21"/>
      <c r="H61" s="21"/>
      <c r="I61" s="21"/>
      <c r="J61" s="21"/>
      <c r="K61" s="21"/>
      <c r="L61" s="21"/>
      <c r="M61" s="21"/>
      <c r="N61" s="21"/>
      <c r="O61" s="21"/>
      <c r="P61" s="21"/>
      <c r="Q61" s="21"/>
      <c r="R61" s="21"/>
      <c r="S61" s="21"/>
      <c r="T61" s="21"/>
    </row>
    <row r="62" spans="2:20" ht="15.75" x14ac:dyDescent="0.25">
      <c r="B62" s="361" t="s">
        <v>34</v>
      </c>
      <c r="D62" s="99" t="s">
        <v>122</v>
      </c>
      <c r="E62" s="121">
        <f ca="1">IF($B$3="","",INDEX(INDIRECT(INDEX(Calcs!$D:$D,MATCH($B$3,Calcs!$A:$A,0))),9,7))</f>
        <v>0.08</v>
      </c>
      <c r="F62" s="21"/>
      <c r="G62" s="99" t="s">
        <v>116</v>
      </c>
      <c r="H62" s="122">
        <f ca="1">IF($B$3="","",INDEX(INDIRECT(INDEX(Calcs!$D:$D,MATCH($B$3,Calcs!$A:$A,0))),9,6))</f>
        <v>7.0000000000000007E-2</v>
      </c>
      <c r="I62" s="102" t="s">
        <v>117</v>
      </c>
      <c r="J62" s="121">
        <f ca="1">IF($B$3="","",INDEX(INDIRECT(INDEX(Calcs!$D:$D,MATCH($B$3,Calcs!$A:$A,0))),9,7))</f>
        <v>0.08</v>
      </c>
      <c r="K62" s="21"/>
      <c r="L62" s="99" t="s">
        <v>116</v>
      </c>
      <c r="M62" s="122">
        <f ca="1">IF($B$3="","",INDEX(INDIRECT(INDEX(Calcs!$D:$D,MATCH($B$3,Calcs!$A:$A,0))),9,5))</f>
        <v>0.06</v>
      </c>
      <c r="N62" s="102" t="s">
        <v>117</v>
      </c>
      <c r="O62" s="121">
        <f ca="1">IF($B$3="","",INDEX(INDIRECT(INDEX(Calcs!$D:$D,MATCH($B$3,Calcs!$A:$A,0))),9,6))</f>
        <v>7.0000000000000007E-2</v>
      </c>
      <c r="P62" s="21"/>
      <c r="Q62" s="99" t="s">
        <v>116</v>
      </c>
      <c r="R62" s="122">
        <f ca="1">IF($B$3="","",INDEX(INDIRECT(INDEX(Calcs!$D:$D,MATCH($B$3,Calcs!$A:$A,0))),9,3))</f>
        <v>0.05</v>
      </c>
      <c r="S62" s="102" t="s">
        <v>117</v>
      </c>
      <c r="T62" s="121">
        <f ca="1">IF($B$3="","",INDEX(INDIRECT(INDEX(Calcs!$D:$D,MATCH($B$3,Calcs!$A:$A,0))),9,5))</f>
        <v>0.06</v>
      </c>
    </row>
    <row r="63" spans="2:20" ht="15.75" x14ac:dyDescent="0.25">
      <c r="B63" s="362"/>
      <c r="D63" s="111"/>
      <c r="E63" s="104"/>
      <c r="F63" s="21"/>
      <c r="G63" s="111"/>
      <c r="H63" s="105"/>
      <c r="I63" s="105"/>
      <c r="J63" s="104"/>
      <c r="K63" s="21"/>
      <c r="L63" s="111" t="s">
        <v>123</v>
      </c>
      <c r="M63" s="123">
        <f ca="1">IF($B$3="","",INDEX(INDIRECT(INDEX(Calcs!$D:$D,MATCH($B$3,Calcs!$A:$A,0))),9,3))</f>
        <v>0.05</v>
      </c>
      <c r="N63" s="105"/>
      <c r="O63" s="104"/>
      <c r="P63" s="21"/>
      <c r="Q63" s="111"/>
      <c r="R63" s="105"/>
      <c r="S63" s="105"/>
      <c r="T63" s="104"/>
    </row>
    <row r="64" spans="2:20" ht="5.25" customHeight="1" x14ac:dyDescent="0.2">
      <c r="B64" s="55"/>
      <c r="D64" s="21"/>
      <c r="E64" s="21"/>
      <c r="F64" s="21"/>
      <c r="G64" s="21"/>
      <c r="H64" s="21"/>
      <c r="I64" s="21"/>
      <c r="J64" s="21"/>
      <c r="K64" s="21"/>
      <c r="L64" s="21"/>
      <c r="M64" s="21"/>
      <c r="N64" s="21"/>
      <c r="O64" s="21"/>
      <c r="P64" s="21"/>
      <c r="Q64" s="21"/>
      <c r="R64" s="21"/>
      <c r="S64" s="21"/>
      <c r="T64" s="21"/>
    </row>
    <row r="65" spans="2:20" ht="15.75" x14ac:dyDescent="0.25">
      <c r="B65" s="361" t="s">
        <v>4</v>
      </c>
      <c r="D65" s="99" t="s">
        <v>114</v>
      </c>
      <c r="E65" s="124">
        <f ca="1">IF($B$3="","",INDEX(INDIRECT(INDEX(Calcs!$D:$D,MATCH($B$3,Calcs!$A:$A,0))),10,1))</f>
        <v>14</v>
      </c>
      <c r="F65" s="21"/>
      <c r="G65" s="99" t="s">
        <v>116</v>
      </c>
      <c r="H65" s="125">
        <f ca="1">IF($B$3="","",INDEX(INDIRECT(INDEX(Calcs!$D:$D,MATCH($B$3,Calcs!$A:$A,0))),10,1))</f>
        <v>14</v>
      </c>
      <c r="I65" s="102" t="s">
        <v>117</v>
      </c>
      <c r="J65" s="124">
        <f ca="1">IF($B$3="","",INDEX(INDIRECT(INDEX(Calcs!$D:$D,MATCH($B$3,Calcs!$A:$A,0))),10,2))</f>
        <v>15</v>
      </c>
      <c r="K65" s="21"/>
      <c r="L65" s="99" t="s">
        <v>116</v>
      </c>
      <c r="M65" s="125">
        <f ca="1">IF($B$3="","",INDEX(INDIRECT(INDEX(Calcs!$D:$D,MATCH($B$3,Calcs!$A:$A,0))),10,2))</f>
        <v>15</v>
      </c>
      <c r="N65" s="102" t="s">
        <v>117</v>
      </c>
      <c r="O65" s="124">
        <f ca="1">IF($B$3="","",INDEX(INDIRECT(INDEX(Calcs!$D:$D,MATCH($B$3,Calcs!$A:$A,0))),10,3))</f>
        <v>16</v>
      </c>
      <c r="P65" s="21"/>
      <c r="Q65" s="99" t="s">
        <v>116</v>
      </c>
      <c r="R65" s="125">
        <f ca="1">IF($B$3="","",INDEX(INDIRECT(INDEX(Calcs!$D:$D,MATCH($B$3,Calcs!$A:$A,0))),10,3))</f>
        <v>16</v>
      </c>
      <c r="S65" s="102" t="s">
        <v>117</v>
      </c>
      <c r="T65" s="124">
        <f ca="1">IF($B$3="","",INDEX(INDIRECT(INDEX(Calcs!$D:$D,MATCH($B$3,Calcs!$A:$A,0))),10,5))</f>
        <v>16.5</v>
      </c>
    </row>
    <row r="66" spans="2:20" ht="15.75" x14ac:dyDescent="0.25">
      <c r="B66" s="362"/>
      <c r="D66" s="111" t="s">
        <v>119</v>
      </c>
      <c r="E66" s="126">
        <f ca="1">IF($B$3="","",INDEX(INDIRECT(INDEX(Calcs!$D:$D,MATCH($B$3,Calcs!$A:$A,0))),10,7))</f>
        <v>18.5</v>
      </c>
      <c r="F66" s="21"/>
      <c r="G66" s="111" t="s">
        <v>118</v>
      </c>
      <c r="H66" s="127">
        <f ca="1">IF($B$3="","",INDEX(INDIRECT(INDEX(Calcs!$D:$D,MATCH($B$3,Calcs!$A:$A,0))),10,6))</f>
        <v>17.5</v>
      </c>
      <c r="I66" s="105" t="s">
        <v>117</v>
      </c>
      <c r="J66" s="126">
        <f ca="1">IF($B$3="","",INDEX(INDIRECT(INDEX(Calcs!$D:$D,MATCH($B$3,Calcs!$A:$A,0))),10,7))</f>
        <v>18.5</v>
      </c>
      <c r="K66" s="21"/>
      <c r="L66" s="111" t="s">
        <v>118</v>
      </c>
      <c r="M66" s="127">
        <f ca="1">IF($B$3="","",INDEX(INDIRECT(INDEX(Calcs!$D:$D,MATCH($B$3,Calcs!$A:$A,0))),10,5))</f>
        <v>16.5</v>
      </c>
      <c r="N66" s="105" t="s">
        <v>117</v>
      </c>
      <c r="O66" s="126">
        <f ca="1">IF($B$3="","",INDEX(INDIRECT(INDEX(Calcs!$D:$D,MATCH($B$3,Calcs!$A:$A,0))),10,6))</f>
        <v>17.5</v>
      </c>
      <c r="P66" s="21"/>
      <c r="Q66" s="111"/>
      <c r="R66" s="105"/>
      <c r="S66" s="105"/>
      <c r="T66" s="104"/>
    </row>
    <row r="67" spans="2:20" ht="5.25" customHeight="1" x14ac:dyDescent="0.2">
      <c r="B67" s="55"/>
      <c r="D67" s="21"/>
      <c r="E67" s="128"/>
      <c r="F67" s="21"/>
      <c r="G67" s="21"/>
      <c r="H67" s="21"/>
      <c r="I67" s="21"/>
      <c r="J67" s="21"/>
      <c r="K67" s="21"/>
      <c r="L67" s="21"/>
      <c r="M67" s="21"/>
      <c r="N67" s="21"/>
      <c r="O67" s="21"/>
      <c r="P67" s="21"/>
      <c r="Q67" s="21"/>
      <c r="R67" s="21"/>
      <c r="S67" s="21"/>
      <c r="T67" s="21"/>
    </row>
    <row r="68" spans="2:20" ht="15.75" x14ac:dyDescent="0.25">
      <c r="B68" s="361" t="s">
        <v>14</v>
      </c>
      <c r="D68" s="99" t="s">
        <v>114</v>
      </c>
      <c r="E68" s="124">
        <f ca="1">IF($B$3="","",INDEX(INDIRECT(INDEX(Calcs!$D:$D,MATCH($B$3,Calcs!$A:$A,0))),11,1))</f>
        <v>8.5</v>
      </c>
      <c r="F68" s="21"/>
      <c r="G68" s="99" t="s">
        <v>116</v>
      </c>
      <c r="H68" s="125">
        <f ca="1">IF($B$3="","",INDEX(INDIRECT(INDEX(Calcs!$D:$D,MATCH($B$3,Calcs!$A:$A,0))),11,1))</f>
        <v>8.5</v>
      </c>
      <c r="I68" s="102" t="s">
        <v>117</v>
      </c>
      <c r="J68" s="124">
        <f ca="1">IF($B$3="","",INDEX(INDIRECT(INDEX(Calcs!$D:$D,MATCH($B$3,Calcs!$A:$A,0))),11,2))</f>
        <v>9</v>
      </c>
      <c r="K68" s="21"/>
      <c r="L68" s="99" t="s">
        <v>116</v>
      </c>
      <c r="M68" s="125">
        <f ca="1">IF($B$3="","",INDEX(INDIRECT(INDEX(Calcs!$D:$D,MATCH($B$3,Calcs!$A:$A,0))),11,2))</f>
        <v>9</v>
      </c>
      <c r="N68" s="102" t="s">
        <v>117</v>
      </c>
      <c r="O68" s="124">
        <f ca="1">IF($B$3="","",INDEX(INDIRECT(INDEX(Calcs!$D:$D,MATCH($B$3,Calcs!$A:$A,0))),11,3))</f>
        <v>9.5</v>
      </c>
      <c r="P68" s="21"/>
      <c r="Q68" s="99" t="s">
        <v>116</v>
      </c>
      <c r="R68" s="125">
        <f ca="1">IF($B$3="","",INDEX(INDIRECT(INDEX(Calcs!$D:$D,MATCH($B$3,Calcs!$A:$A,0))),11,3))</f>
        <v>9.5</v>
      </c>
      <c r="S68" s="102" t="s">
        <v>117</v>
      </c>
      <c r="T68" s="124">
        <f ca="1">IF($B$3="","",INDEX(INDIRECT(INDEX(Calcs!$D:$D,MATCH($B$3,Calcs!$A:$A,0))),11,5))</f>
        <v>10</v>
      </c>
    </row>
    <row r="69" spans="2:20" ht="15.75" x14ac:dyDescent="0.25">
      <c r="B69" s="362"/>
      <c r="D69" s="111" t="s">
        <v>119</v>
      </c>
      <c r="E69" s="126">
        <f ca="1">IF($B$3="","",INDEX(INDIRECT(INDEX(Calcs!$D:$D,MATCH($B$3,Calcs!$A:$A,0))),11,7))</f>
        <v>11.5</v>
      </c>
      <c r="F69" s="21"/>
      <c r="G69" s="111" t="s">
        <v>118</v>
      </c>
      <c r="H69" s="127">
        <f ca="1">IF($B$3="","",INDEX(INDIRECT(INDEX(Calcs!$D:$D,MATCH($B$3,Calcs!$A:$A,0))),11,6))</f>
        <v>11</v>
      </c>
      <c r="I69" s="105" t="s">
        <v>117</v>
      </c>
      <c r="J69" s="126">
        <f ca="1">IF($B$3="","",INDEX(INDIRECT(INDEX(Calcs!$D:$D,MATCH($B$3,Calcs!$A:$A,0))),11,7))</f>
        <v>11.5</v>
      </c>
      <c r="K69" s="21"/>
      <c r="L69" s="111" t="s">
        <v>118</v>
      </c>
      <c r="M69" s="127">
        <f ca="1">IF($B$3="","",INDEX(INDIRECT(INDEX(Calcs!$D:$D,MATCH($B$3,Calcs!$A:$A,0))),11,5))</f>
        <v>10</v>
      </c>
      <c r="N69" s="105" t="s">
        <v>117</v>
      </c>
      <c r="O69" s="126">
        <f ca="1">IF($B$3="","",INDEX(INDIRECT(INDEX(Calcs!$D:$D,MATCH($B$3,Calcs!$A:$A,0))),11,6))</f>
        <v>11</v>
      </c>
      <c r="P69" s="21"/>
      <c r="Q69" s="111"/>
      <c r="R69" s="105"/>
      <c r="S69" s="105"/>
      <c r="T69" s="104"/>
    </row>
    <row r="70" spans="2:20" ht="5.25" customHeight="1" x14ac:dyDescent="0.2">
      <c r="B70" s="55"/>
      <c r="D70" s="21"/>
      <c r="E70" s="128"/>
      <c r="F70" s="21"/>
      <c r="G70" s="21"/>
      <c r="H70" s="21"/>
      <c r="I70" s="21"/>
      <c r="J70" s="21"/>
      <c r="K70" s="21"/>
      <c r="L70" s="21"/>
      <c r="M70" s="21"/>
      <c r="N70" s="21"/>
      <c r="O70" s="21"/>
      <c r="P70" s="21"/>
      <c r="Q70" s="21"/>
      <c r="R70" s="21"/>
      <c r="S70" s="21"/>
      <c r="T70" s="21"/>
    </row>
    <row r="71" spans="2:20" ht="15.75" x14ac:dyDescent="0.25">
      <c r="B71" s="361" t="str">
        <f>IF(OR($B$7="- an alternative provision school",$B$7="- a special school",$B$7="- a nursery school"),"","Teacher contact ratio (less than 1.0)")</f>
        <v>Teacher contact ratio (less than 1.0)</v>
      </c>
      <c r="D71" s="99" t="str">
        <f>IF(B71="","","Less than or equal to")</f>
        <v>Less than or equal to</v>
      </c>
      <c r="E71" s="129">
        <f>IF(OR($B$7="- an alternative provision school",$B$7="- a special school",$B$7="- a nursery school",$B$3=""),"",0.7)</f>
        <v>0.7</v>
      </c>
      <c r="F71" s="112"/>
      <c r="G71" s="107" t="str">
        <f>IF(B71="","","Between")</f>
        <v>Between</v>
      </c>
      <c r="H71" s="130">
        <f>IF(OR($B$7="- an alternative provision school",$B$7="- a special school",$B$7="- a nursery school",$B$3=""),"",0.7)</f>
        <v>0.7</v>
      </c>
      <c r="I71" s="109" t="str">
        <f>IF(B71="","","and")</f>
        <v>and</v>
      </c>
      <c r="J71" s="129">
        <f>IF(OR($B$7="- an alternative provision school",$B$7="- a special school",$B$7="- a nursery school",$B$3=""),"",0.74)</f>
        <v>0.74</v>
      </c>
      <c r="K71" s="112"/>
      <c r="L71" s="107" t="str">
        <f>IF(B71="","","Between")</f>
        <v>Between</v>
      </c>
      <c r="M71" s="130">
        <f>IF(OR($B$7="- an alternative provision school",$B$7="- a special school",$B$7="- a nursery school",$B$3=""),"",0.4)</f>
        <v>0.4</v>
      </c>
      <c r="N71" s="109" t="str">
        <f>IF(G71="","","and")</f>
        <v>and</v>
      </c>
      <c r="O71" s="129">
        <f>IF(OR($B$7="- an alternative provision school",$B$7="- a special school",$B$7="- a nursery school",$B$3=""),"",0.8)</f>
        <v>0.8</v>
      </c>
      <c r="P71" s="21"/>
      <c r="Q71" s="99"/>
      <c r="R71" s="141"/>
      <c r="S71" s="102"/>
      <c r="T71" s="142"/>
    </row>
    <row r="72" spans="2:20" ht="15.75" x14ac:dyDescent="0.25">
      <c r="B72" s="362"/>
      <c r="D72" s="111" t="str">
        <f>IF(B71="","","Or more than")</f>
        <v>Or more than</v>
      </c>
      <c r="E72" s="131">
        <f>IF(OR($B$7="- an alternative provision school",$B$7="- a special school",$B$7="- a nursery school",$B$3=""),"",0.82)</f>
        <v>0.82</v>
      </c>
      <c r="F72" s="112"/>
      <c r="G72" s="114" t="str">
        <f>IF(B71="","","Or between")</f>
        <v>Or between</v>
      </c>
      <c r="H72" s="132">
        <f>IF(OR($B$7="- an alternative provision school",$B$7="- a special school",$B$7="- a nursery school",$B$3=""),"",0.8)</f>
        <v>0.8</v>
      </c>
      <c r="I72" s="115" t="str">
        <f>IF(B72="","","and")</f>
        <v/>
      </c>
      <c r="J72" s="131">
        <f>IF(OR($B$7="- an alternative provision school",$B$7="- a special school",$B$7="- a nursery school",$B$3=""),"",0.82)</f>
        <v>0.82</v>
      </c>
      <c r="K72" s="112"/>
      <c r="L72" s="114"/>
      <c r="M72" s="116"/>
      <c r="N72" s="115"/>
      <c r="O72" s="133"/>
      <c r="P72" s="21"/>
      <c r="Q72" s="111"/>
      <c r="R72" s="105"/>
      <c r="S72" s="105"/>
      <c r="T72" s="104"/>
    </row>
    <row r="73" spans="2:20" ht="5.25" customHeight="1" x14ac:dyDescent="0.2">
      <c r="B73" s="55"/>
      <c r="D73" s="21"/>
      <c r="E73" s="21"/>
      <c r="F73" s="21"/>
      <c r="G73" s="21"/>
      <c r="H73" s="21"/>
      <c r="I73" s="21"/>
      <c r="J73" s="21"/>
      <c r="K73" s="21"/>
      <c r="L73" s="21"/>
      <c r="M73" s="21"/>
      <c r="N73" s="21"/>
      <c r="O73" s="21"/>
      <c r="P73" s="21"/>
      <c r="Q73" s="21"/>
      <c r="R73" s="21"/>
      <c r="S73" s="21"/>
      <c r="T73" s="21"/>
    </row>
    <row r="74" spans="2:20" ht="15.75" x14ac:dyDescent="0.25">
      <c r="B74" s="361" t="s">
        <v>36</v>
      </c>
      <c r="D74" s="99" t="s">
        <v>114</v>
      </c>
      <c r="E74" s="121">
        <f>IF($B$3="","",-0.1)</f>
        <v>-0.1</v>
      </c>
      <c r="F74" s="21"/>
      <c r="G74" s="99" t="s">
        <v>116</v>
      </c>
      <c r="H74" s="122">
        <f>IF($B$3="","",-0.1)</f>
        <v>-0.1</v>
      </c>
      <c r="I74" s="102" t="s">
        <v>117</v>
      </c>
      <c r="J74" s="121">
        <f>IF($B$3="","",-0.02)</f>
        <v>-0.02</v>
      </c>
      <c r="K74" s="21"/>
      <c r="L74" s="99" t="s">
        <v>122</v>
      </c>
      <c r="M74" s="122">
        <f>IF($B$3="","",-0.02)</f>
        <v>-0.02</v>
      </c>
      <c r="N74" s="102"/>
      <c r="O74" s="134"/>
      <c r="P74" s="21"/>
      <c r="Q74" s="99"/>
      <c r="R74" s="102"/>
      <c r="S74" s="102"/>
      <c r="T74" s="134"/>
    </row>
    <row r="75" spans="2:20" x14ac:dyDescent="0.2">
      <c r="B75" s="362"/>
      <c r="D75" s="111"/>
      <c r="E75" s="104"/>
      <c r="F75" s="21"/>
      <c r="G75" s="111"/>
      <c r="H75" s="105"/>
      <c r="I75" s="105"/>
      <c r="J75" s="104"/>
      <c r="K75" s="21"/>
      <c r="L75" s="111"/>
      <c r="M75" s="105"/>
      <c r="N75" s="105"/>
      <c r="O75" s="104"/>
      <c r="P75" s="21"/>
      <c r="Q75" s="111"/>
      <c r="R75" s="105"/>
      <c r="S75" s="105"/>
      <c r="T75" s="104"/>
    </row>
    <row r="76" spans="2:20" ht="5.25" customHeight="1" x14ac:dyDescent="0.2">
      <c r="B76" s="55"/>
      <c r="D76" s="21"/>
      <c r="E76" s="21"/>
      <c r="F76" s="21"/>
      <c r="G76" s="21"/>
      <c r="H76" s="21"/>
      <c r="I76" s="21"/>
      <c r="J76" s="21"/>
      <c r="K76" s="21"/>
      <c r="L76" s="21"/>
      <c r="M76" s="21"/>
      <c r="N76" s="21"/>
      <c r="O76" s="21"/>
      <c r="P76" s="21"/>
      <c r="Q76" s="21"/>
      <c r="R76" s="21"/>
      <c r="S76" s="21"/>
      <c r="T76" s="21"/>
    </row>
    <row r="77" spans="2:20" ht="15.75" x14ac:dyDescent="0.25">
      <c r="B77" s="361" t="str">
        <f>IF(OR($B$7="- an alternative provision school",$B$7="- a special school",$B$7="- a nursery school"),"","Average class size")</f>
        <v>Average class size</v>
      </c>
      <c r="D77" s="99" t="str">
        <f>IF(B77="","","Less than or equal to")</f>
        <v>Less than or equal to</v>
      </c>
      <c r="E77" s="124">
        <f ca="1">IF($B$3="","",INDEX(INDIRECT(INDEX(Calcs!$D:$D,MATCH($B$3,Calcs!$A:$A,0))),12,1))</f>
        <v>19</v>
      </c>
      <c r="F77" s="21"/>
      <c r="G77" s="99" t="str">
        <f>IF(B77="","","Between")</f>
        <v>Between</v>
      </c>
      <c r="H77" s="125">
        <f ca="1">IF($B$3="","",INDEX(INDIRECT(INDEX(Calcs!$D:$D,MATCH($B$3,Calcs!$A:$A,0))),12,1))</f>
        <v>19</v>
      </c>
      <c r="I77" s="102" t="str">
        <f>IF(B77="","","and")</f>
        <v>and</v>
      </c>
      <c r="J77" s="124">
        <f ca="1">IF($B$3="","",INDEX(INDIRECT(INDEX(Calcs!$D:$D,MATCH($B$3,Calcs!$A:$A,0))),12,2))</f>
        <v>19.5</v>
      </c>
      <c r="K77" s="21"/>
      <c r="L77" s="99" t="str">
        <f>IF(B77="","","Between")</f>
        <v>Between</v>
      </c>
      <c r="M77" s="125">
        <f ca="1">IF($B$3="","",INDEX(INDIRECT(INDEX(Calcs!$D:$D,MATCH($B$3,Calcs!$A:$A,0))),12,2))</f>
        <v>19.5</v>
      </c>
      <c r="N77" s="102" t="str">
        <f>IF(B77="","","and")</f>
        <v>and</v>
      </c>
      <c r="O77" s="124">
        <f ca="1">IF($B$3="","",INDEX(INDIRECT(INDEX(Calcs!$D:$D,MATCH($B$3,Calcs!$A:$A,0))),12,3))</f>
        <v>20.5</v>
      </c>
      <c r="P77" s="21"/>
      <c r="Q77" s="99" t="str">
        <f>IF(B77="","","Between")</f>
        <v>Between</v>
      </c>
      <c r="R77" s="125">
        <f ca="1">IF($B$3="","",INDEX(INDIRECT(INDEX(Calcs!$D:$D,MATCH($B$3,Calcs!$A:$A,0))),12,3))</f>
        <v>20.5</v>
      </c>
      <c r="S77" s="102" t="str">
        <f>IF(B77="","","and")</f>
        <v>and</v>
      </c>
      <c r="T77" s="124">
        <f ca="1">IF($B$3="","",INDEX(INDIRECT(INDEX(Calcs!$D:$D,MATCH($B$3,Calcs!$A:$A,0))),12,5))</f>
        <v>21.5</v>
      </c>
    </row>
    <row r="78" spans="2:20" ht="15.75" x14ac:dyDescent="0.25">
      <c r="B78" s="362"/>
      <c r="D78" s="111" t="str">
        <f>IF(B77="","","Or more than")</f>
        <v>Or more than</v>
      </c>
      <c r="E78" s="126">
        <f ca="1">IF($B$3="","",INDEX(INDIRECT(INDEX(Calcs!$D:$D,MATCH($B$3,Calcs!$A:$A,0))),12,7))</f>
        <v>23</v>
      </c>
      <c r="F78" s="21"/>
      <c r="G78" s="111" t="str">
        <f>IF(B77="","","Or between")</f>
        <v>Or between</v>
      </c>
      <c r="H78" s="127">
        <f ca="1">IF($B$3="","",INDEX(INDIRECT(INDEX(Calcs!$D:$D,MATCH($B$3,Calcs!$A:$A,0))),12,6))</f>
        <v>22</v>
      </c>
      <c r="I78" s="105" t="str">
        <f>IF(B77="","","and")</f>
        <v>and</v>
      </c>
      <c r="J78" s="126">
        <f ca="1">IF($B$3="","",INDEX(INDIRECT(INDEX(Calcs!$D:$D,MATCH($B$3,Calcs!$A:$A,0))),12,7))</f>
        <v>23</v>
      </c>
      <c r="K78" s="21"/>
      <c r="L78" s="111" t="str">
        <f>IF(B77="","","Or between")</f>
        <v>Or between</v>
      </c>
      <c r="M78" s="127">
        <f ca="1">IF($B$3="","",INDEX(INDIRECT(INDEX(Calcs!$D:$D,MATCH($B$3,Calcs!$A:$A,0))),12,5))</f>
        <v>21.5</v>
      </c>
      <c r="N78" s="105" t="str">
        <f>IF(B77="","","and")</f>
        <v>and</v>
      </c>
      <c r="O78" s="126">
        <f ca="1">IF($B$3="","",INDEX(INDIRECT(INDEX(Calcs!$D:$D,MATCH($B$3,Calcs!$A:$A,0))),12,6))</f>
        <v>22</v>
      </c>
      <c r="P78" s="21"/>
      <c r="Q78" s="111"/>
      <c r="R78" s="105"/>
      <c r="S78" s="105"/>
      <c r="T78" s="104"/>
    </row>
    <row r="79" spans="2:20" ht="5.25" customHeight="1" x14ac:dyDescent="0.2">
      <c r="B79" s="53"/>
    </row>
    <row r="80" spans="2:20" ht="15" customHeight="1" x14ac:dyDescent="0.2">
      <c r="B80" s="53"/>
    </row>
    <row r="81" spans="2:20" ht="15.75" x14ac:dyDescent="0.2">
      <c r="B81" s="70" t="s">
        <v>52</v>
      </c>
      <c r="C81" s="70"/>
      <c r="D81" s="71"/>
      <c r="E81" s="71"/>
      <c r="F81" s="70"/>
      <c r="G81" s="71"/>
      <c r="H81" s="71"/>
      <c r="I81" s="71"/>
      <c r="J81" s="71"/>
      <c r="K81" s="70"/>
      <c r="L81" s="71"/>
      <c r="M81" s="71"/>
      <c r="N81" s="71"/>
      <c r="O81" s="71"/>
      <c r="P81" s="70"/>
      <c r="Q81" s="71"/>
      <c r="R81" s="71"/>
      <c r="S81" s="71"/>
      <c r="T81" s="71"/>
    </row>
    <row r="82" spans="2:20" ht="5.65" customHeight="1" x14ac:dyDescent="0.2">
      <c r="D82" s="62"/>
      <c r="E82" s="62"/>
      <c r="G82" s="62"/>
      <c r="H82" s="62"/>
      <c r="I82" s="62"/>
      <c r="J82" s="62"/>
      <c r="L82" s="62"/>
      <c r="M82" s="62"/>
      <c r="N82" s="62"/>
      <c r="O82" s="62"/>
      <c r="Q82" s="62"/>
      <c r="R82" s="62"/>
      <c r="S82" s="62"/>
      <c r="T82" s="62"/>
    </row>
    <row r="83" spans="2:20" x14ac:dyDescent="0.2">
      <c r="D83" s="350" t="s">
        <v>113</v>
      </c>
      <c r="E83" s="351"/>
      <c r="G83" s="352" t="s">
        <v>115</v>
      </c>
      <c r="H83" s="353"/>
      <c r="I83" s="353"/>
      <c r="J83" s="354"/>
      <c r="L83" s="355" t="s">
        <v>120</v>
      </c>
      <c r="M83" s="356"/>
      <c r="N83" s="356"/>
      <c r="O83" s="357"/>
      <c r="Q83" s="358" t="s">
        <v>121</v>
      </c>
      <c r="R83" s="359"/>
      <c r="S83" s="359"/>
      <c r="T83" s="360"/>
    </row>
    <row r="84" spans="2:20" ht="5.65" customHeight="1" x14ac:dyDescent="0.2">
      <c r="D84" s="62"/>
      <c r="E84" s="62"/>
      <c r="G84" s="62"/>
      <c r="H84" s="62"/>
      <c r="I84" s="62"/>
      <c r="J84" s="62"/>
      <c r="L84" s="62"/>
      <c r="M84" s="62"/>
      <c r="N84" s="62"/>
      <c r="O84" s="62"/>
      <c r="Q84" s="62"/>
      <c r="R84" s="62"/>
      <c r="S84" s="62"/>
      <c r="T84" s="62"/>
    </row>
    <row r="85" spans="2:20" ht="15" customHeight="1" x14ac:dyDescent="0.25">
      <c r="B85" s="361" t="s">
        <v>7</v>
      </c>
      <c r="D85" s="99" t="s">
        <v>129</v>
      </c>
      <c r="E85" s="100"/>
      <c r="F85" s="21"/>
      <c r="G85" s="99" t="s">
        <v>129</v>
      </c>
      <c r="H85" s="101"/>
      <c r="I85" s="102"/>
      <c r="J85" s="100"/>
      <c r="K85" s="21"/>
      <c r="L85" s="99" t="s">
        <v>129</v>
      </c>
      <c r="M85" s="101"/>
      <c r="N85" s="102"/>
      <c r="O85" s="100"/>
      <c r="P85" s="21"/>
      <c r="Q85" s="99" t="s">
        <v>129</v>
      </c>
      <c r="R85" s="101"/>
      <c r="S85" s="102"/>
      <c r="T85" s="142"/>
    </row>
    <row r="86" spans="2:20" ht="15.75" x14ac:dyDescent="0.25">
      <c r="B86" s="362"/>
      <c r="D86" s="103" t="str">
        <f>IF($B$3="","","Inadequate")</f>
        <v>Inadequate</v>
      </c>
      <c r="E86" s="104"/>
      <c r="F86" s="21"/>
      <c r="G86" s="103" t="str">
        <f>IF($B$3="","","Requires Improvement (RI)")</f>
        <v>Requires Improvement (RI)</v>
      </c>
      <c r="H86" s="105"/>
      <c r="I86" s="105"/>
      <c r="J86" s="104"/>
      <c r="K86" s="21"/>
      <c r="L86" s="103" t="str">
        <f>IF($B$3="","","Good")</f>
        <v>Good</v>
      </c>
      <c r="M86" s="106"/>
      <c r="N86" s="105"/>
      <c r="O86" s="104"/>
      <c r="P86" s="21"/>
      <c r="Q86" s="103" t="str">
        <f>IF($B$3="","","Outstanding")</f>
        <v>Outstanding</v>
      </c>
      <c r="R86" s="105"/>
      <c r="S86" s="105"/>
      <c r="T86" s="104"/>
    </row>
    <row r="87" spans="2:20" ht="5.25" customHeight="1" x14ac:dyDescent="0.2">
      <c r="B87" s="55"/>
      <c r="D87" s="21"/>
      <c r="E87" s="21"/>
      <c r="F87" s="21"/>
      <c r="G87" s="21"/>
      <c r="H87" s="21"/>
      <c r="I87" s="21"/>
      <c r="J87" s="21"/>
      <c r="K87" s="21"/>
      <c r="L87" s="21"/>
      <c r="M87" s="21"/>
      <c r="N87" s="21"/>
      <c r="O87" s="21"/>
      <c r="P87" s="21"/>
      <c r="Q87" s="21"/>
      <c r="R87" s="21"/>
      <c r="S87" s="21"/>
      <c r="T87" s="21"/>
    </row>
    <row r="88" spans="2:20" ht="15.75" x14ac:dyDescent="0.25">
      <c r="B88" s="361" t="str">
        <f>IF(OR($B$7="- a primary school",$B$7="- a nursery school"),"","Progress 8 score")</f>
        <v>Progress 8 score</v>
      </c>
      <c r="D88" s="99" t="str">
        <f>IF(B88="","","Less than or equal to")</f>
        <v>Less than or equal to</v>
      </c>
      <c r="E88" s="100">
        <f>IF(OR($B$3="",B88=""),"",-0.5)</f>
        <v>-0.5</v>
      </c>
      <c r="F88" s="21"/>
      <c r="G88" s="107" t="str">
        <f>IF(B88="","","Between")</f>
        <v>Between</v>
      </c>
      <c r="H88" s="108">
        <f>IF(OR($B$3="",B88=""),"",-0.5)</f>
        <v>-0.5</v>
      </c>
      <c r="I88" s="109" t="str">
        <f>IF(B88="","","and")</f>
        <v>and</v>
      </c>
      <c r="J88" s="110">
        <f>IF(OR($B$3="",B88=""),"",0)</f>
        <v>0</v>
      </c>
      <c r="K88" s="21"/>
      <c r="L88" s="107" t="str">
        <f>IF(B88="","","Between")</f>
        <v>Between</v>
      </c>
      <c r="M88" s="108">
        <f>IF(OR($B$3="",B88=""),"",0)</f>
        <v>0</v>
      </c>
      <c r="N88" s="109" t="str">
        <f>IF(B88="","","and")</f>
        <v>and</v>
      </c>
      <c r="O88" s="110">
        <f>IF(OR($B$3="",B88=""),"",0.5)</f>
        <v>0.5</v>
      </c>
      <c r="P88" s="21"/>
      <c r="Q88" s="107" t="str">
        <f>IF(B88="","","More than")</f>
        <v>More than</v>
      </c>
      <c r="R88" s="108">
        <f>IF(OR($B$3="",B88=""),"",0.5)</f>
        <v>0.5</v>
      </c>
      <c r="S88" s="102"/>
      <c r="T88" s="142"/>
    </row>
    <row r="89" spans="2:20" ht="15.75" x14ac:dyDescent="0.25">
      <c r="B89" s="362"/>
      <c r="D89" s="111"/>
      <c r="E89" s="104"/>
      <c r="F89" s="21"/>
      <c r="G89" s="111"/>
      <c r="H89" s="105"/>
      <c r="I89" s="105"/>
      <c r="J89" s="104"/>
      <c r="K89" s="21"/>
      <c r="L89" s="111"/>
      <c r="M89" s="106"/>
      <c r="N89" s="105"/>
      <c r="O89" s="104"/>
      <c r="P89" s="21"/>
      <c r="Q89" s="111"/>
      <c r="R89" s="105"/>
      <c r="S89" s="105"/>
      <c r="T89" s="104"/>
    </row>
    <row r="90" spans="2:20" ht="5.25" customHeight="1" x14ac:dyDescent="0.2">
      <c r="B90" s="55"/>
      <c r="D90" s="21"/>
      <c r="E90" s="21"/>
      <c r="F90" s="21"/>
      <c r="G90" s="21"/>
      <c r="H90" s="21"/>
      <c r="I90" s="21"/>
      <c r="J90" s="21"/>
      <c r="K90" s="21"/>
      <c r="L90" s="21"/>
      <c r="M90" s="21"/>
      <c r="N90" s="21"/>
      <c r="O90" s="21"/>
      <c r="P90" s="21"/>
      <c r="Q90" s="21"/>
      <c r="R90" s="21"/>
      <c r="S90" s="21"/>
      <c r="T90" s="21"/>
    </row>
    <row r="91" spans="2:20" ht="15.75" x14ac:dyDescent="0.25">
      <c r="B91" s="361" t="str">
        <f>IF(OR($B$7="- a secondary school with a sixth form", $B$7="- a secondary school without a sixth form",$B$7="- a nursery school"),"","Progress score in reading")</f>
        <v/>
      </c>
      <c r="D91" s="99" t="str">
        <f>IF(B91="","","Less than or equal to")</f>
        <v/>
      </c>
      <c r="E91" s="110" t="str">
        <f>IF(OR($B$3="",B91=""),"",-2.7)</f>
        <v/>
      </c>
      <c r="F91" s="21"/>
      <c r="G91" s="107" t="str">
        <f>IF(B91="","","Between")</f>
        <v/>
      </c>
      <c r="H91" s="108" t="str">
        <f>IF(OR($B$3="",B91=""),"",-2.7)</f>
        <v/>
      </c>
      <c r="I91" s="109" t="str">
        <f>IF(B91="","","and")</f>
        <v/>
      </c>
      <c r="J91" s="110" t="str">
        <f>IF(OR($B$3="",B91=""),"",0)</f>
        <v/>
      </c>
      <c r="K91" s="112"/>
      <c r="L91" s="107" t="str">
        <f>IF(B91="","","Between")</f>
        <v/>
      </c>
      <c r="M91" s="108" t="str">
        <f>IF(OR($B$3="",B91=""),"",0)</f>
        <v/>
      </c>
      <c r="N91" s="109" t="str">
        <f>IF(B91="","","and")</f>
        <v/>
      </c>
      <c r="O91" s="110" t="str">
        <f>IF(OR($B$3="",B91=""),"",3.2)</f>
        <v/>
      </c>
      <c r="P91" s="112"/>
      <c r="Q91" s="107" t="str">
        <f>IF(B91="","","More than")</f>
        <v/>
      </c>
      <c r="R91" s="108" t="str">
        <f>IF(OR($B$3="",B91=""),"",3.2)</f>
        <v/>
      </c>
      <c r="S91" s="102"/>
      <c r="T91" s="142"/>
    </row>
    <row r="92" spans="2:20" ht="15.75" x14ac:dyDescent="0.25">
      <c r="B92" s="362"/>
      <c r="D92" s="111"/>
      <c r="E92" s="113"/>
      <c r="F92" s="21"/>
      <c r="G92" s="114"/>
      <c r="H92" s="105"/>
      <c r="I92" s="115"/>
      <c r="J92" s="104"/>
      <c r="K92" s="21"/>
      <c r="L92" s="114"/>
      <c r="M92" s="106"/>
      <c r="N92" s="115"/>
      <c r="O92" s="104"/>
      <c r="P92" s="21"/>
      <c r="Q92" s="114"/>
      <c r="R92" s="105"/>
      <c r="S92" s="105"/>
      <c r="T92" s="104"/>
    </row>
    <row r="93" spans="2:20" ht="5.25" customHeight="1" x14ac:dyDescent="0.2">
      <c r="B93" s="55"/>
      <c r="D93" s="21"/>
      <c r="E93" s="112"/>
      <c r="F93" s="21"/>
      <c r="G93" s="112"/>
      <c r="H93" s="112"/>
      <c r="I93" s="112"/>
      <c r="J93" s="112"/>
      <c r="K93" s="112"/>
      <c r="L93" s="112"/>
      <c r="M93" s="112"/>
      <c r="N93" s="112"/>
      <c r="O93" s="112"/>
      <c r="P93" s="112"/>
      <c r="Q93" s="112"/>
      <c r="R93" s="112"/>
      <c r="S93" s="112"/>
      <c r="T93" s="21"/>
    </row>
    <row r="94" spans="2:20" ht="15.75" x14ac:dyDescent="0.25">
      <c r="B94" s="361" t="str">
        <f>IF(OR($B$7="- a secondary school with a sixth form", $B$7="- a secondary school without a sixth form",$B$7="- a nursery school"),"","Progress score in writing")</f>
        <v/>
      </c>
      <c r="D94" s="99" t="str">
        <f>IF(B94="","","Less than or equal to")</f>
        <v/>
      </c>
      <c r="E94" s="110" t="str">
        <f>IF(OR($B$3="",B94=""),"",-2.6)</f>
        <v/>
      </c>
      <c r="F94" s="21"/>
      <c r="G94" s="107" t="str">
        <f>IF(B94="","","Between")</f>
        <v/>
      </c>
      <c r="H94" s="108" t="str">
        <f>IF(OR($B$3="",B94=""),"",-2.6)</f>
        <v/>
      </c>
      <c r="I94" s="109" t="str">
        <f>IF(B94="","","and")</f>
        <v/>
      </c>
      <c r="J94" s="110" t="str">
        <f>IF(OR($B$3="",B94=""),"",0)</f>
        <v/>
      </c>
      <c r="K94" s="112"/>
      <c r="L94" s="107" t="str">
        <f>IF(B94="","","Between")</f>
        <v/>
      </c>
      <c r="M94" s="108" t="str">
        <f>IF(OR($B$3="",B94=""),"",0)</f>
        <v/>
      </c>
      <c r="N94" s="109" t="str">
        <f>IF(B94="","","and")</f>
        <v/>
      </c>
      <c r="O94" s="110" t="str">
        <f>IF(OR($B$3="",B94=""),"",2.7)</f>
        <v/>
      </c>
      <c r="P94" s="112"/>
      <c r="Q94" s="107" t="str">
        <f>IF(B94="","","More than")</f>
        <v/>
      </c>
      <c r="R94" s="108" t="str">
        <f>IF(OR($B$3="",B94=""),"",2.7)</f>
        <v/>
      </c>
      <c r="S94" s="109"/>
      <c r="T94" s="142"/>
    </row>
    <row r="95" spans="2:20" ht="15.75" x14ac:dyDescent="0.25">
      <c r="B95" s="362"/>
      <c r="D95" s="111"/>
      <c r="E95" s="113"/>
      <c r="F95" s="21"/>
      <c r="G95" s="114"/>
      <c r="H95" s="115"/>
      <c r="I95" s="115"/>
      <c r="J95" s="113"/>
      <c r="K95" s="112"/>
      <c r="L95" s="114"/>
      <c r="M95" s="116"/>
      <c r="N95" s="115"/>
      <c r="O95" s="113"/>
      <c r="P95" s="112"/>
      <c r="Q95" s="114"/>
      <c r="R95" s="115"/>
      <c r="S95" s="115"/>
      <c r="T95" s="104"/>
    </row>
    <row r="96" spans="2:20" ht="5.25" customHeight="1" x14ac:dyDescent="0.2">
      <c r="B96" s="55"/>
      <c r="D96" s="21"/>
      <c r="E96" s="112"/>
      <c r="F96" s="21"/>
      <c r="G96" s="112"/>
      <c r="H96" s="112"/>
      <c r="I96" s="112"/>
      <c r="J96" s="112"/>
      <c r="K96" s="112"/>
      <c r="L96" s="112"/>
      <c r="M96" s="112"/>
      <c r="N96" s="112"/>
      <c r="O96" s="112"/>
      <c r="P96" s="112"/>
      <c r="Q96" s="112"/>
      <c r="R96" s="112"/>
      <c r="S96" s="112"/>
      <c r="T96" s="21"/>
    </row>
    <row r="97" spans="2:20" ht="15.75" x14ac:dyDescent="0.25">
      <c r="B97" s="361" t="str">
        <f>IF(OR($B$7="- a secondary school with a sixth form", $B$7="- a secondary school without a sixth form",$B$7="- a nursery school"),"","Progress score in maths")</f>
        <v/>
      </c>
      <c r="D97" s="99" t="str">
        <f>IF(B97="","","Less than or equal to")</f>
        <v/>
      </c>
      <c r="E97" s="110" t="str">
        <f>IF(OR($B$3="",B97=""),"",-3.1)</f>
        <v/>
      </c>
      <c r="F97" s="21"/>
      <c r="G97" s="107" t="str">
        <f>IF(B97="","","Between")</f>
        <v/>
      </c>
      <c r="H97" s="108" t="str">
        <f>IF(OR($B$3="",B97=""),"",-3.1)</f>
        <v/>
      </c>
      <c r="I97" s="109" t="str">
        <f>IF(B97="","","and")</f>
        <v/>
      </c>
      <c r="J97" s="110" t="str">
        <f>IF(OR($B$3="",B97=""),"",0)</f>
        <v/>
      </c>
      <c r="K97" s="112"/>
      <c r="L97" s="107" t="str">
        <f>IF(B97="","","Between")</f>
        <v/>
      </c>
      <c r="M97" s="108" t="str">
        <f>IF(OR($B$3="",B97=""),"",0)</f>
        <v/>
      </c>
      <c r="N97" s="109" t="str">
        <f>IF(B97="","","and")</f>
        <v/>
      </c>
      <c r="O97" s="110" t="str">
        <f>IF(OR($B$3="",B97=""),"",3.2)</f>
        <v/>
      </c>
      <c r="P97" s="112"/>
      <c r="Q97" s="107" t="str">
        <f>IF(B97="","","More than")</f>
        <v/>
      </c>
      <c r="R97" s="108" t="str">
        <f>IF(OR($B$3="",B97=""),"",3.2)</f>
        <v/>
      </c>
      <c r="S97" s="109"/>
      <c r="T97" s="142"/>
    </row>
    <row r="98" spans="2:20" ht="15.75" x14ac:dyDescent="0.25">
      <c r="B98" s="362"/>
      <c r="D98" s="111"/>
      <c r="E98" s="104"/>
      <c r="F98" s="21"/>
      <c r="G98" s="114"/>
      <c r="H98" s="105"/>
      <c r="I98" s="115"/>
      <c r="J98" s="104"/>
      <c r="K98" s="21"/>
      <c r="L98" s="114"/>
      <c r="M98" s="106"/>
      <c r="N98" s="115"/>
      <c r="O98" s="104"/>
      <c r="P98" s="21"/>
      <c r="Q98" s="114"/>
      <c r="R98" s="105"/>
      <c r="S98" s="105"/>
      <c r="T98" s="104"/>
    </row>
    <row r="99" spans="2:20" x14ac:dyDescent="0.2"/>
    <row r="100" spans="2:20" x14ac:dyDescent="0.2"/>
    <row r="101" spans="2:20" x14ac:dyDescent="0.2"/>
    <row r="102" spans="2:20" x14ac:dyDescent="0.2"/>
    <row r="103" spans="2:20" x14ac:dyDescent="0.2"/>
    <row r="104" spans="2:20" x14ac:dyDescent="0.2"/>
  </sheetData>
  <sheetProtection algorithmName="SHA-512" hashValue="Q4R2fjcik9Cij40Sz0NQO5VHwgFenFiB/et808QRbq8bscAgGAxkTBIrdukWLRd/rjDmwyeO3+8L/Kn8sMimNg==" saltValue="F8Oys1bUBEowdcP1aa1K2w==" spinCount="100000" sheet="1" objects="1" scenarios="1" formatColumns="0" formatRows="0" insertColumns="0" insertRows="0"/>
  <mergeCells count="39">
    <mergeCell ref="H2:T9"/>
    <mergeCell ref="G17:J17"/>
    <mergeCell ref="L17:O17"/>
    <mergeCell ref="Q17:T17"/>
    <mergeCell ref="B22:B23"/>
    <mergeCell ref="B25:B26"/>
    <mergeCell ref="B28:B29"/>
    <mergeCell ref="B31:B32"/>
    <mergeCell ref="B19:B20"/>
    <mergeCell ref="D17:E17"/>
    <mergeCell ref="B34:B35"/>
    <mergeCell ref="B37:B38"/>
    <mergeCell ref="B40:B41"/>
    <mergeCell ref="D46:E46"/>
    <mergeCell ref="G46:J46"/>
    <mergeCell ref="L46:O46"/>
    <mergeCell ref="B68:B69"/>
    <mergeCell ref="Q46:T46"/>
    <mergeCell ref="B48:B49"/>
    <mergeCell ref="B51:B52"/>
    <mergeCell ref="D57:E57"/>
    <mergeCell ref="G57:J57"/>
    <mergeCell ref="L57:O57"/>
    <mergeCell ref="Q57:T57"/>
    <mergeCell ref="B88:B89"/>
    <mergeCell ref="B91:B92"/>
    <mergeCell ref="B94:B95"/>
    <mergeCell ref="B97:B98"/>
    <mergeCell ref="B74:B75"/>
    <mergeCell ref="B77:B78"/>
    <mergeCell ref="B85:B86"/>
    <mergeCell ref="D83:E83"/>
    <mergeCell ref="G83:J83"/>
    <mergeCell ref="L83:O83"/>
    <mergeCell ref="Q83:T83"/>
    <mergeCell ref="B59:B60"/>
    <mergeCell ref="B62:B63"/>
    <mergeCell ref="B65:B66"/>
    <mergeCell ref="B71:B72"/>
  </mergeCells>
  <conditionalFormatting sqref="B71:T72">
    <cfRule type="expression" dxfId="3" priority="4">
      <formula>$B$71=""</formula>
    </cfRule>
  </conditionalFormatting>
  <conditionalFormatting sqref="B77:T78">
    <cfRule type="expression" dxfId="2" priority="3">
      <formula>$B$77=""</formula>
    </cfRule>
  </conditionalFormatting>
  <conditionalFormatting sqref="B88:T89">
    <cfRule type="expression" dxfId="1" priority="2">
      <formula>$B$88=""</formula>
    </cfRule>
  </conditionalFormatting>
  <conditionalFormatting sqref="B91:T98">
    <cfRule type="expression" dxfId="0" priority="1">
      <formula>$B$91=""</formula>
    </cfRule>
  </conditionalFormatting>
  <pageMargins left="0.7" right="0.7" top="0.75" bottom="0.75" header="0.3" footer="0.3"/>
  <pageSetup paperSize="9"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school from drop down list">
          <x14:formula1>
            <xm:f>OFFSET(Calcs!$A$29,0,0,(20-COUNTIF(Calcs!$A$29:$A$48,"")))</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pageSetUpPr fitToPage="1"/>
  </sheetPr>
  <dimension ref="A1:R608"/>
  <sheetViews>
    <sheetView showGridLines="0" topLeftCell="B32" zoomScale="90" zoomScaleNormal="90" workbookViewId="0">
      <selection activeCell="B1" sqref="B1"/>
    </sheetView>
  </sheetViews>
  <sheetFormatPr defaultColWidth="0" defaultRowHeight="15" zeroHeight="1" outlineLevelRow="1" x14ac:dyDescent="0.2"/>
  <cols>
    <col min="1" max="1" width="10.28515625" style="73" hidden="1" customWidth="1"/>
    <col min="2" max="2" width="30.140625" style="73" customWidth="1"/>
    <col min="3" max="3" width="13" style="73" customWidth="1"/>
    <col min="4" max="4" width="15" style="73" customWidth="1"/>
    <col min="5" max="5" width="77.85546875" style="52" bestFit="1" customWidth="1"/>
    <col min="6" max="7" width="9" style="52" customWidth="1"/>
    <col min="8" max="8" width="9.5703125" style="52" customWidth="1"/>
    <col min="9" max="9" width="9.85546875" style="52" customWidth="1"/>
    <col min="10" max="10" width="9" style="52" customWidth="1"/>
    <col min="11" max="12" width="9.5703125" style="52" customWidth="1"/>
    <col min="13" max="18" width="9" style="52" customWidth="1"/>
    <col min="19" max="16384" width="9" style="52" hidden="1"/>
  </cols>
  <sheetData>
    <row r="1" spans="1:14" ht="15.75" x14ac:dyDescent="0.25">
      <c r="B1" s="74" t="s">
        <v>210</v>
      </c>
    </row>
    <row r="2" spans="1:14" s="75" customFormat="1" x14ac:dyDescent="0.2"/>
    <row r="3" spans="1:14" s="77" customFormat="1" ht="60" x14ac:dyDescent="0.25">
      <c r="A3" s="76" t="s">
        <v>145</v>
      </c>
      <c r="B3" s="76" t="s">
        <v>16</v>
      </c>
      <c r="C3" s="76" t="s">
        <v>128</v>
      </c>
      <c r="D3" s="76" t="s">
        <v>20</v>
      </c>
      <c r="F3" s="78" t="s">
        <v>148</v>
      </c>
      <c r="G3" s="78" t="s">
        <v>149</v>
      </c>
      <c r="H3" s="78" t="s">
        <v>150</v>
      </c>
      <c r="I3" s="78" t="s">
        <v>155</v>
      </c>
      <c r="J3" s="78" t="s">
        <v>154</v>
      </c>
      <c r="K3" s="78" t="s">
        <v>151</v>
      </c>
      <c r="L3" s="78" t="s">
        <v>152</v>
      </c>
      <c r="N3" s="77" t="s">
        <v>153</v>
      </c>
    </row>
    <row r="4" spans="1:14" x14ac:dyDescent="0.2">
      <c r="A4" s="73">
        <v>726</v>
      </c>
      <c r="B4" s="52" t="s">
        <v>21</v>
      </c>
      <c r="C4" s="52" t="s">
        <v>135</v>
      </c>
      <c r="D4" s="52" t="s">
        <v>136</v>
      </c>
      <c r="E4" s="179" t="s">
        <v>211</v>
      </c>
    </row>
    <row r="5" spans="1:14" hidden="1" outlineLevel="1" x14ac:dyDescent="0.2">
      <c r="B5" s="75" t="s">
        <v>21</v>
      </c>
      <c r="C5" s="75" t="s">
        <v>135</v>
      </c>
      <c r="D5" s="75" t="s">
        <v>136</v>
      </c>
      <c r="E5" s="79" t="s">
        <v>103</v>
      </c>
      <c r="F5" s="80">
        <v>0.39500000000000002</v>
      </c>
      <c r="G5" s="81">
        <v>0.42</v>
      </c>
      <c r="H5" s="82">
        <v>0.45500000000000002</v>
      </c>
      <c r="I5" s="83">
        <v>0.47</v>
      </c>
      <c r="J5" s="82">
        <v>0.48499999999999999</v>
      </c>
      <c r="K5" s="81">
        <v>0.51500000000000001</v>
      </c>
      <c r="L5" s="80">
        <v>0.54</v>
      </c>
    </row>
    <row r="6" spans="1:14" hidden="1" outlineLevel="1" x14ac:dyDescent="0.2">
      <c r="B6" s="75" t="s">
        <v>21</v>
      </c>
      <c r="C6" s="75" t="s">
        <v>135</v>
      </c>
      <c r="D6" s="75" t="s">
        <v>136</v>
      </c>
      <c r="E6" s="79" t="s">
        <v>104</v>
      </c>
      <c r="F6" s="83"/>
      <c r="G6" s="83"/>
      <c r="H6" s="82">
        <v>0.02</v>
      </c>
      <c r="I6" s="83">
        <v>0.02</v>
      </c>
      <c r="J6" s="82">
        <v>2.5000000000000001E-2</v>
      </c>
      <c r="K6" s="81">
        <v>0.04</v>
      </c>
      <c r="L6" s="80">
        <v>5.5E-2</v>
      </c>
    </row>
    <row r="7" spans="1:14" hidden="1" outlineLevel="1" x14ac:dyDescent="0.2">
      <c r="B7" s="75" t="s">
        <v>21</v>
      </c>
      <c r="C7" s="75" t="s">
        <v>135</v>
      </c>
      <c r="D7" s="75" t="s">
        <v>136</v>
      </c>
      <c r="E7" s="79" t="s">
        <v>105</v>
      </c>
      <c r="F7" s="83"/>
      <c r="G7" s="83"/>
      <c r="H7" s="82">
        <v>0.125</v>
      </c>
      <c r="I7" s="83">
        <v>0.13</v>
      </c>
      <c r="J7" s="82">
        <v>0.14499999999999999</v>
      </c>
      <c r="K7" s="81">
        <v>0.17</v>
      </c>
      <c r="L7" s="80">
        <v>0.19</v>
      </c>
    </row>
    <row r="8" spans="1:14" hidden="1" outlineLevel="1" x14ac:dyDescent="0.2">
      <c r="B8" s="75" t="s">
        <v>21</v>
      </c>
      <c r="C8" s="75" t="s">
        <v>135</v>
      </c>
      <c r="D8" s="75" t="s">
        <v>136</v>
      </c>
      <c r="E8" s="79" t="s">
        <v>106</v>
      </c>
      <c r="F8" s="83"/>
      <c r="G8" s="83"/>
      <c r="H8" s="83"/>
      <c r="I8" s="83">
        <v>5.5E-2</v>
      </c>
      <c r="J8" s="83"/>
      <c r="K8" s="81">
        <v>7.4999999999999997E-2</v>
      </c>
      <c r="L8" s="80">
        <v>8.5000000000000006E-2</v>
      </c>
    </row>
    <row r="9" spans="1:14" hidden="1" outlineLevel="1" x14ac:dyDescent="0.2">
      <c r="B9" s="75" t="s">
        <v>21</v>
      </c>
      <c r="C9" s="75" t="s">
        <v>135</v>
      </c>
      <c r="D9" s="75" t="s">
        <v>136</v>
      </c>
      <c r="E9" s="79" t="s">
        <v>107</v>
      </c>
      <c r="F9" s="83"/>
      <c r="G9" s="83"/>
      <c r="H9" s="83"/>
      <c r="I9" s="83">
        <v>0.03</v>
      </c>
      <c r="J9" s="83"/>
      <c r="K9" s="81">
        <v>0.05</v>
      </c>
      <c r="L9" s="80">
        <v>0.06</v>
      </c>
    </row>
    <row r="10" spans="1:14" hidden="1" outlineLevel="1" x14ac:dyDescent="0.2">
      <c r="B10" s="75" t="s">
        <v>21</v>
      </c>
      <c r="C10" s="75" t="s">
        <v>135</v>
      </c>
      <c r="D10" s="75" t="s">
        <v>136</v>
      </c>
      <c r="E10" s="79" t="s">
        <v>108</v>
      </c>
      <c r="F10" s="83"/>
      <c r="G10" s="83"/>
      <c r="H10" s="83"/>
      <c r="I10" s="83">
        <v>0.05</v>
      </c>
      <c r="J10" s="83"/>
      <c r="K10" s="81">
        <v>6.5000000000000002E-2</v>
      </c>
      <c r="L10" s="80">
        <v>0.08</v>
      </c>
    </row>
    <row r="11" spans="1:14" hidden="1" outlineLevel="1" x14ac:dyDescent="0.2">
      <c r="B11" s="75" t="s">
        <v>21</v>
      </c>
      <c r="C11" s="75" t="s">
        <v>135</v>
      </c>
      <c r="D11" s="75" t="s">
        <v>136</v>
      </c>
      <c r="E11" s="79" t="s">
        <v>109</v>
      </c>
      <c r="F11" s="80">
        <v>0.03</v>
      </c>
      <c r="G11" s="81">
        <v>0.04</v>
      </c>
      <c r="H11" s="82">
        <v>0.05</v>
      </c>
      <c r="I11" s="83">
        <v>5.5E-2</v>
      </c>
      <c r="J11" s="82">
        <v>6.5000000000000002E-2</v>
      </c>
      <c r="K11" s="83"/>
      <c r="L11" s="83"/>
    </row>
    <row r="12" spans="1:14" hidden="1" outlineLevel="1" x14ac:dyDescent="0.2">
      <c r="B12" s="75" t="s">
        <v>21</v>
      </c>
      <c r="C12" s="75" t="s">
        <v>135</v>
      </c>
      <c r="D12" s="75" t="s">
        <v>136</v>
      </c>
      <c r="E12" s="84" t="s">
        <v>110</v>
      </c>
      <c r="F12" s="83"/>
      <c r="G12" s="83"/>
      <c r="H12" s="83"/>
      <c r="I12" s="83">
        <v>0.01</v>
      </c>
      <c r="J12" s="83"/>
      <c r="K12" s="81">
        <v>1.4999999999999999E-2</v>
      </c>
      <c r="L12" s="80">
        <v>0.02</v>
      </c>
    </row>
    <row r="13" spans="1:14" hidden="1" outlineLevel="1" x14ac:dyDescent="0.2">
      <c r="B13" s="75" t="s">
        <v>21</v>
      </c>
      <c r="C13" s="75" t="s">
        <v>135</v>
      </c>
      <c r="D13" s="75" t="s">
        <v>136</v>
      </c>
      <c r="E13" s="79" t="s">
        <v>34</v>
      </c>
      <c r="F13" s="83"/>
      <c r="G13" s="83"/>
      <c r="H13" s="82">
        <v>0.115</v>
      </c>
      <c r="I13" s="83">
        <v>0.125</v>
      </c>
      <c r="J13" s="82">
        <v>0.14000000000000001</v>
      </c>
      <c r="K13" s="81">
        <v>0.17499999999999999</v>
      </c>
      <c r="L13" s="80">
        <v>0.21</v>
      </c>
    </row>
    <row r="14" spans="1:14" hidden="1" outlineLevel="1" x14ac:dyDescent="0.2">
      <c r="B14" s="75" t="s">
        <v>21</v>
      </c>
      <c r="C14" s="75" t="s">
        <v>135</v>
      </c>
      <c r="D14" s="75" t="s">
        <v>136</v>
      </c>
      <c r="E14" s="79" t="s">
        <v>4</v>
      </c>
      <c r="F14" s="85">
        <v>12</v>
      </c>
      <c r="G14" s="86">
        <v>14</v>
      </c>
      <c r="H14" s="87">
        <v>16</v>
      </c>
      <c r="I14" s="88">
        <v>17</v>
      </c>
      <c r="J14" s="87">
        <v>18</v>
      </c>
      <c r="K14" s="86">
        <v>20</v>
      </c>
      <c r="L14" s="85">
        <v>22.5</v>
      </c>
    </row>
    <row r="15" spans="1:14" hidden="1" outlineLevel="1" x14ac:dyDescent="0.2">
      <c r="B15" s="75" t="s">
        <v>21</v>
      </c>
      <c r="C15" s="75" t="s">
        <v>135</v>
      </c>
      <c r="D15" s="75" t="s">
        <v>136</v>
      </c>
      <c r="E15" s="79" t="s">
        <v>14</v>
      </c>
      <c r="F15" s="85">
        <v>6</v>
      </c>
      <c r="G15" s="86">
        <v>7</v>
      </c>
      <c r="H15" s="87">
        <v>8</v>
      </c>
      <c r="I15" s="88">
        <v>8.5</v>
      </c>
      <c r="J15" s="87">
        <v>9</v>
      </c>
      <c r="K15" s="86">
        <v>10</v>
      </c>
      <c r="L15" s="85">
        <v>11</v>
      </c>
    </row>
    <row r="16" spans="1:14" hidden="1" outlineLevel="1" x14ac:dyDescent="0.2">
      <c r="B16" s="75" t="s">
        <v>21</v>
      </c>
      <c r="C16" s="75" t="s">
        <v>135</v>
      </c>
      <c r="D16" s="75" t="s">
        <v>136</v>
      </c>
      <c r="E16" s="79" t="s">
        <v>0</v>
      </c>
      <c r="F16" s="85">
        <v>14.5</v>
      </c>
      <c r="G16" s="86">
        <v>17</v>
      </c>
      <c r="H16" s="87">
        <v>20.5</v>
      </c>
      <c r="I16" s="88">
        <v>21</v>
      </c>
      <c r="J16" s="87">
        <v>22.5</v>
      </c>
      <c r="K16" s="86">
        <v>24.5</v>
      </c>
      <c r="L16" s="85">
        <v>26</v>
      </c>
    </row>
    <row r="17" spans="1:12" hidden="1" outlineLevel="1" x14ac:dyDescent="0.2"/>
    <row r="18" spans="1:12" collapsed="1" x14ac:dyDescent="0.2">
      <c r="A18" s="73">
        <v>698</v>
      </c>
      <c r="B18" s="52" t="s">
        <v>21</v>
      </c>
      <c r="C18" s="52" t="s">
        <v>137</v>
      </c>
      <c r="D18" s="52" t="s">
        <v>136</v>
      </c>
      <c r="E18" s="179" t="s">
        <v>212</v>
      </c>
    </row>
    <row r="19" spans="1:12" hidden="1" outlineLevel="1" x14ac:dyDescent="0.2">
      <c r="B19" s="52" t="s">
        <v>21</v>
      </c>
      <c r="C19" s="52" t="s">
        <v>137</v>
      </c>
      <c r="D19" s="52" t="s">
        <v>136</v>
      </c>
      <c r="E19" s="79" t="s">
        <v>103</v>
      </c>
      <c r="F19" s="80">
        <v>0.40500000000000003</v>
      </c>
      <c r="G19" s="81">
        <v>0.43</v>
      </c>
      <c r="H19" s="82">
        <v>0.46</v>
      </c>
      <c r="I19" s="83">
        <v>0.47</v>
      </c>
      <c r="J19" s="82">
        <v>0.48</v>
      </c>
      <c r="K19" s="81">
        <v>0.51500000000000001</v>
      </c>
      <c r="L19" s="80">
        <v>0.53500000000000003</v>
      </c>
    </row>
    <row r="20" spans="1:12" hidden="1" outlineLevel="1" x14ac:dyDescent="0.2">
      <c r="B20" s="52" t="s">
        <v>21</v>
      </c>
      <c r="C20" s="52" t="s">
        <v>137</v>
      </c>
      <c r="D20" s="52" t="s">
        <v>136</v>
      </c>
      <c r="E20" s="79" t="s">
        <v>104</v>
      </c>
      <c r="F20" s="83"/>
      <c r="G20" s="83"/>
      <c r="H20" s="82">
        <v>0.02</v>
      </c>
      <c r="I20" s="83">
        <v>0.02</v>
      </c>
      <c r="J20" s="82">
        <v>2.5000000000000001E-2</v>
      </c>
      <c r="K20" s="81">
        <v>0.04</v>
      </c>
      <c r="L20" s="80">
        <v>5.5E-2</v>
      </c>
    </row>
    <row r="21" spans="1:12" hidden="1" outlineLevel="1" x14ac:dyDescent="0.2">
      <c r="B21" s="52" t="s">
        <v>21</v>
      </c>
      <c r="C21" s="52" t="s">
        <v>137</v>
      </c>
      <c r="D21" s="52" t="s">
        <v>136</v>
      </c>
      <c r="E21" s="79" t="s">
        <v>105</v>
      </c>
      <c r="F21" s="83"/>
      <c r="G21" s="83"/>
      <c r="H21" s="82">
        <v>0.13500000000000001</v>
      </c>
      <c r="I21" s="83">
        <v>0.14499999999999999</v>
      </c>
      <c r="J21" s="82">
        <v>0.155</v>
      </c>
      <c r="K21" s="81">
        <v>0.17499999999999999</v>
      </c>
      <c r="L21" s="80">
        <v>0.19500000000000001</v>
      </c>
    </row>
    <row r="22" spans="1:12" hidden="1" outlineLevel="1" x14ac:dyDescent="0.2">
      <c r="B22" s="52" t="s">
        <v>21</v>
      </c>
      <c r="C22" s="52" t="s">
        <v>137</v>
      </c>
      <c r="D22" s="52" t="s">
        <v>136</v>
      </c>
      <c r="E22" s="79" t="s">
        <v>106</v>
      </c>
      <c r="F22" s="83"/>
      <c r="G22" s="83"/>
      <c r="H22" s="83"/>
      <c r="I22" s="83">
        <v>0.05</v>
      </c>
      <c r="J22" s="83"/>
      <c r="K22" s="81">
        <v>6.5000000000000002E-2</v>
      </c>
      <c r="L22" s="80">
        <v>7.4999999999999997E-2</v>
      </c>
    </row>
    <row r="23" spans="1:12" hidden="1" outlineLevel="1" x14ac:dyDescent="0.2">
      <c r="B23" s="52" t="s">
        <v>21</v>
      </c>
      <c r="C23" s="52" t="s">
        <v>137</v>
      </c>
      <c r="D23" s="52" t="s">
        <v>136</v>
      </c>
      <c r="E23" s="79" t="s">
        <v>107</v>
      </c>
      <c r="F23" s="83"/>
      <c r="G23" s="83"/>
      <c r="H23" s="83"/>
      <c r="I23" s="83">
        <v>0.03</v>
      </c>
      <c r="J23" s="83"/>
      <c r="K23" s="81">
        <v>0.05</v>
      </c>
      <c r="L23" s="80">
        <v>6.5000000000000002E-2</v>
      </c>
    </row>
    <row r="24" spans="1:12" hidden="1" outlineLevel="1" x14ac:dyDescent="0.2">
      <c r="B24" s="52" t="s">
        <v>21</v>
      </c>
      <c r="C24" s="52" t="s">
        <v>137</v>
      </c>
      <c r="D24" s="52" t="s">
        <v>136</v>
      </c>
      <c r="E24" s="79" t="s">
        <v>108</v>
      </c>
      <c r="F24" s="83"/>
      <c r="G24" s="83"/>
      <c r="H24" s="83"/>
      <c r="I24" s="83">
        <v>0.05</v>
      </c>
      <c r="J24" s="83"/>
      <c r="K24" s="81">
        <v>0.06</v>
      </c>
      <c r="L24" s="80">
        <v>7.0000000000000007E-2</v>
      </c>
    </row>
    <row r="25" spans="1:12" hidden="1" outlineLevel="1" x14ac:dyDescent="0.2">
      <c r="B25" s="52" t="s">
        <v>21</v>
      </c>
      <c r="C25" s="52" t="s">
        <v>137</v>
      </c>
      <c r="D25" s="52" t="s">
        <v>136</v>
      </c>
      <c r="E25" s="79" t="s">
        <v>109</v>
      </c>
      <c r="F25" s="80">
        <v>0.03</v>
      </c>
      <c r="G25" s="81">
        <v>0.04</v>
      </c>
      <c r="H25" s="82">
        <v>0.05</v>
      </c>
      <c r="I25" s="83">
        <v>5.5E-2</v>
      </c>
      <c r="J25" s="82">
        <v>0.06</v>
      </c>
      <c r="K25" s="83"/>
      <c r="L25" s="83"/>
    </row>
    <row r="26" spans="1:12" hidden="1" outlineLevel="1" x14ac:dyDescent="0.2">
      <c r="B26" s="52" t="s">
        <v>21</v>
      </c>
      <c r="C26" s="52" t="s">
        <v>137</v>
      </c>
      <c r="D26" s="52" t="s">
        <v>136</v>
      </c>
      <c r="E26" s="79" t="s">
        <v>110</v>
      </c>
      <c r="F26" s="83"/>
      <c r="G26" s="83"/>
      <c r="H26" s="83"/>
      <c r="I26" s="83">
        <v>0.01</v>
      </c>
      <c r="J26" s="83"/>
      <c r="K26" s="81">
        <v>1.4999999999999999E-2</v>
      </c>
      <c r="L26" s="80">
        <v>0.02</v>
      </c>
    </row>
    <row r="27" spans="1:12" hidden="1" outlineLevel="1" x14ac:dyDescent="0.2">
      <c r="B27" s="52" t="s">
        <v>21</v>
      </c>
      <c r="C27" s="52" t="s">
        <v>137</v>
      </c>
      <c r="D27" s="52" t="s">
        <v>136</v>
      </c>
      <c r="E27" s="79" t="s">
        <v>34</v>
      </c>
      <c r="F27" s="83"/>
      <c r="G27" s="83"/>
      <c r="H27" s="82">
        <v>0.1</v>
      </c>
      <c r="I27" s="83">
        <v>0.115</v>
      </c>
      <c r="J27" s="82">
        <v>0.125</v>
      </c>
      <c r="K27" s="81">
        <v>0.155</v>
      </c>
      <c r="L27" s="80">
        <v>0.18</v>
      </c>
    </row>
    <row r="28" spans="1:12" hidden="1" outlineLevel="1" x14ac:dyDescent="0.2">
      <c r="B28" s="52" t="s">
        <v>21</v>
      </c>
      <c r="C28" s="52" t="s">
        <v>137</v>
      </c>
      <c r="D28" s="52" t="s">
        <v>136</v>
      </c>
      <c r="E28" s="79" t="s">
        <v>4</v>
      </c>
      <c r="F28" s="85">
        <v>17</v>
      </c>
      <c r="G28" s="86">
        <v>18.5</v>
      </c>
      <c r="H28" s="87">
        <v>19.5</v>
      </c>
      <c r="I28" s="88">
        <v>20.5</v>
      </c>
      <c r="J28" s="87">
        <v>21</v>
      </c>
      <c r="K28" s="86">
        <v>22.5</v>
      </c>
      <c r="L28" s="85">
        <v>24</v>
      </c>
    </row>
    <row r="29" spans="1:12" hidden="1" outlineLevel="1" x14ac:dyDescent="0.2">
      <c r="B29" s="52" t="s">
        <v>21</v>
      </c>
      <c r="C29" s="52" t="s">
        <v>137</v>
      </c>
      <c r="D29" s="52" t="s">
        <v>136</v>
      </c>
      <c r="E29" s="79" t="s">
        <v>14</v>
      </c>
      <c r="F29" s="85">
        <v>8</v>
      </c>
      <c r="G29" s="86">
        <v>8.5</v>
      </c>
      <c r="H29" s="87">
        <v>9</v>
      </c>
      <c r="I29" s="88">
        <v>9.5</v>
      </c>
      <c r="J29" s="87">
        <v>10</v>
      </c>
      <c r="K29" s="86">
        <v>11</v>
      </c>
      <c r="L29" s="85">
        <v>12</v>
      </c>
    </row>
    <row r="30" spans="1:12" hidden="1" outlineLevel="1" x14ac:dyDescent="0.2">
      <c r="B30" s="52" t="s">
        <v>21</v>
      </c>
      <c r="C30" s="52" t="s">
        <v>137</v>
      </c>
      <c r="D30" s="52" t="s">
        <v>136</v>
      </c>
      <c r="E30" s="79" t="s">
        <v>0</v>
      </c>
      <c r="F30" s="85">
        <v>21.5</v>
      </c>
      <c r="G30" s="86">
        <v>23</v>
      </c>
      <c r="H30" s="87">
        <v>25</v>
      </c>
      <c r="I30" s="88">
        <v>26</v>
      </c>
      <c r="J30" s="87">
        <v>26.5</v>
      </c>
      <c r="K30" s="86">
        <v>28</v>
      </c>
      <c r="L30" s="85">
        <v>29</v>
      </c>
    </row>
    <row r="31" spans="1:12" hidden="1" outlineLevel="1" x14ac:dyDescent="0.2"/>
    <row r="32" spans="1:12" collapsed="1" x14ac:dyDescent="0.2">
      <c r="A32" s="89">
        <v>1757</v>
      </c>
      <c r="B32" s="52" t="s">
        <v>21</v>
      </c>
      <c r="C32" s="52" t="s">
        <v>138</v>
      </c>
      <c r="D32" s="52" t="s">
        <v>136</v>
      </c>
      <c r="E32" s="179" t="s">
        <v>213</v>
      </c>
    </row>
    <row r="33" spans="1:12" hidden="1" outlineLevel="1" x14ac:dyDescent="0.2">
      <c r="B33" s="52" t="s">
        <v>21</v>
      </c>
      <c r="C33" s="52" t="s">
        <v>138</v>
      </c>
      <c r="D33" s="52" t="s">
        <v>136</v>
      </c>
      <c r="E33" s="79" t="s">
        <v>103</v>
      </c>
      <c r="F33" s="80">
        <v>0.40500000000000003</v>
      </c>
      <c r="G33" s="81">
        <v>0.42499999999999999</v>
      </c>
      <c r="H33" s="82">
        <v>0.45500000000000002</v>
      </c>
      <c r="I33" s="83">
        <v>0.46500000000000002</v>
      </c>
      <c r="J33" s="82">
        <v>0.48</v>
      </c>
      <c r="K33" s="81">
        <v>0.505</v>
      </c>
      <c r="L33" s="80">
        <v>0.52500000000000002</v>
      </c>
    </row>
    <row r="34" spans="1:12" hidden="1" outlineLevel="1" x14ac:dyDescent="0.2">
      <c r="B34" s="52" t="s">
        <v>21</v>
      </c>
      <c r="C34" s="52" t="s">
        <v>138</v>
      </c>
      <c r="D34" s="52" t="s">
        <v>136</v>
      </c>
      <c r="E34" s="79" t="s">
        <v>104</v>
      </c>
      <c r="F34" s="83"/>
      <c r="G34" s="83"/>
      <c r="H34" s="82">
        <v>0.02</v>
      </c>
      <c r="I34" s="83">
        <v>0.02</v>
      </c>
      <c r="J34" s="82">
        <v>2.5000000000000001E-2</v>
      </c>
      <c r="K34" s="81">
        <v>0.04</v>
      </c>
      <c r="L34" s="80">
        <v>0.05</v>
      </c>
    </row>
    <row r="35" spans="1:12" hidden="1" outlineLevel="1" x14ac:dyDescent="0.2">
      <c r="B35" s="52" t="s">
        <v>21</v>
      </c>
      <c r="C35" s="52" t="s">
        <v>138</v>
      </c>
      <c r="D35" s="52" t="s">
        <v>136</v>
      </c>
      <c r="E35" s="79" t="s">
        <v>105</v>
      </c>
      <c r="F35" s="83"/>
      <c r="G35" s="83"/>
      <c r="H35" s="82">
        <v>0.14499999999999999</v>
      </c>
      <c r="I35" s="83">
        <v>0.155</v>
      </c>
      <c r="J35" s="82">
        <v>0.16500000000000001</v>
      </c>
      <c r="K35" s="81">
        <v>0.19</v>
      </c>
      <c r="L35" s="80">
        <v>0.21</v>
      </c>
    </row>
    <row r="36" spans="1:12" hidden="1" outlineLevel="1" x14ac:dyDescent="0.2">
      <c r="B36" s="52" t="s">
        <v>21</v>
      </c>
      <c r="C36" s="52" t="s">
        <v>138</v>
      </c>
      <c r="D36" s="52" t="s">
        <v>136</v>
      </c>
      <c r="E36" s="79" t="s">
        <v>106</v>
      </c>
      <c r="F36" s="83"/>
      <c r="G36" s="83"/>
      <c r="H36" s="83"/>
      <c r="I36" s="83">
        <v>0.05</v>
      </c>
      <c r="J36" s="83"/>
      <c r="K36" s="81">
        <v>0.06</v>
      </c>
      <c r="L36" s="80">
        <v>7.0000000000000007E-2</v>
      </c>
    </row>
    <row r="37" spans="1:12" hidden="1" outlineLevel="1" x14ac:dyDescent="0.2">
      <c r="B37" s="52" t="s">
        <v>21</v>
      </c>
      <c r="C37" s="52" t="s">
        <v>138</v>
      </c>
      <c r="D37" s="52" t="s">
        <v>136</v>
      </c>
      <c r="E37" s="79" t="s">
        <v>107</v>
      </c>
      <c r="F37" s="83"/>
      <c r="G37" s="83"/>
      <c r="H37" s="83"/>
      <c r="I37" s="83">
        <v>3.5000000000000003E-2</v>
      </c>
      <c r="J37" s="83"/>
      <c r="K37" s="81">
        <v>0.05</v>
      </c>
      <c r="L37" s="80">
        <v>6.5000000000000002E-2</v>
      </c>
    </row>
    <row r="38" spans="1:12" hidden="1" outlineLevel="1" x14ac:dyDescent="0.2">
      <c r="B38" s="52" t="s">
        <v>21</v>
      </c>
      <c r="C38" s="52" t="s">
        <v>138</v>
      </c>
      <c r="D38" s="52" t="s">
        <v>136</v>
      </c>
      <c r="E38" s="79" t="s">
        <v>108</v>
      </c>
      <c r="F38" s="83"/>
      <c r="G38" s="83"/>
      <c r="H38" s="83"/>
      <c r="I38" s="83">
        <v>0.05</v>
      </c>
      <c r="J38" s="83"/>
      <c r="K38" s="81">
        <v>6.5000000000000002E-2</v>
      </c>
      <c r="L38" s="80">
        <v>7.4999999999999997E-2</v>
      </c>
    </row>
    <row r="39" spans="1:12" hidden="1" outlineLevel="1" x14ac:dyDescent="0.2">
      <c r="B39" s="52" t="s">
        <v>21</v>
      </c>
      <c r="C39" s="52" t="s">
        <v>138</v>
      </c>
      <c r="D39" s="52" t="s">
        <v>136</v>
      </c>
      <c r="E39" s="79" t="s">
        <v>109</v>
      </c>
      <c r="F39" s="80">
        <v>0.03</v>
      </c>
      <c r="G39" s="81">
        <v>0.04</v>
      </c>
      <c r="H39" s="82">
        <v>0.05</v>
      </c>
      <c r="I39" s="83">
        <v>5.5E-2</v>
      </c>
      <c r="J39" s="82">
        <v>0.06</v>
      </c>
      <c r="K39" s="83"/>
      <c r="L39" s="83"/>
    </row>
    <row r="40" spans="1:12" hidden="1" outlineLevel="1" x14ac:dyDescent="0.2">
      <c r="B40" s="52" t="s">
        <v>21</v>
      </c>
      <c r="C40" s="52" t="s">
        <v>138</v>
      </c>
      <c r="D40" s="52" t="s">
        <v>136</v>
      </c>
      <c r="E40" s="84" t="s">
        <v>110</v>
      </c>
      <c r="F40" s="83"/>
      <c r="G40" s="83"/>
      <c r="H40" s="83"/>
      <c r="I40" s="83">
        <v>0.01</v>
      </c>
      <c r="J40" s="83"/>
      <c r="K40" s="81">
        <v>1.4999999999999999E-2</v>
      </c>
      <c r="L40" s="80">
        <v>0.02</v>
      </c>
    </row>
    <row r="41" spans="1:12" hidden="1" outlineLevel="1" x14ac:dyDescent="0.2">
      <c r="B41" s="52" t="s">
        <v>21</v>
      </c>
      <c r="C41" s="52" t="s">
        <v>138</v>
      </c>
      <c r="D41" s="52" t="s">
        <v>136</v>
      </c>
      <c r="E41" s="79" t="s">
        <v>34</v>
      </c>
      <c r="F41" s="83"/>
      <c r="G41" s="83"/>
      <c r="H41" s="82">
        <v>0.09</v>
      </c>
      <c r="I41" s="83">
        <v>9.5000000000000001E-2</v>
      </c>
      <c r="J41" s="82">
        <v>0.1</v>
      </c>
      <c r="K41" s="81">
        <v>0.115</v>
      </c>
      <c r="L41" s="80">
        <v>0.13500000000000001</v>
      </c>
    </row>
    <row r="42" spans="1:12" hidden="1" outlineLevel="1" x14ac:dyDescent="0.2">
      <c r="B42" s="52" t="s">
        <v>21</v>
      </c>
      <c r="C42" s="52" t="s">
        <v>138</v>
      </c>
      <c r="D42" s="52" t="s">
        <v>136</v>
      </c>
      <c r="E42" s="79" t="s">
        <v>4</v>
      </c>
      <c r="F42" s="85">
        <v>19.5</v>
      </c>
      <c r="G42" s="86">
        <v>20.5</v>
      </c>
      <c r="H42" s="87">
        <v>22</v>
      </c>
      <c r="I42" s="88">
        <v>22.5</v>
      </c>
      <c r="J42" s="87">
        <v>23</v>
      </c>
      <c r="K42" s="86">
        <v>24.5</v>
      </c>
      <c r="L42" s="85">
        <v>26</v>
      </c>
    </row>
    <row r="43" spans="1:12" hidden="1" outlineLevel="1" x14ac:dyDescent="0.2">
      <c r="B43" s="52" t="s">
        <v>21</v>
      </c>
      <c r="C43" s="52" t="s">
        <v>138</v>
      </c>
      <c r="D43" s="52" t="s">
        <v>136</v>
      </c>
      <c r="E43" s="79" t="s">
        <v>14</v>
      </c>
      <c r="F43" s="85">
        <v>8.5</v>
      </c>
      <c r="G43" s="86">
        <v>9.5</v>
      </c>
      <c r="H43" s="87">
        <v>10</v>
      </c>
      <c r="I43" s="88">
        <v>10.5</v>
      </c>
      <c r="J43" s="87">
        <v>11</v>
      </c>
      <c r="K43" s="86">
        <v>12</v>
      </c>
      <c r="L43" s="85">
        <v>12.5</v>
      </c>
    </row>
    <row r="44" spans="1:12" hidden="1" outlineLevel="1" x14ac:dyDescent="0.2">
      <c r="B44" s="52" t="s">
        <v>21</v>
      </c>
      <c r="C44" s="52" t="s">
        <v>138</v>
      </c>
      <c r="D44" s="52" t="s">
        <v>136</v>
      </c>
      <c r="E44" s="79" t="s">
        <v>0</v>
      </c>
      <c r="F44" s="85">
        <v>26</v>
      </c>
      <c r="G44" s="86">
        <v>27</v>
      </c>
      <c r="H44" s="87">
        <v>28.5</v>
      </c>
      <c r="I44" s="88">
        <v>29</v>
      </c>
      <c r="J44" s="87">
        <v>29.5</v>
      </c>
      <c r="K44" s="86">
        <v>30</v>
      </c>
      <c r="L44" s="85">
        <v>30.5</v>
      </c>
    </row>
    <row r="45" spans="1:12" hidden="1" outlineLevel="1" x14ac:dyDescent="0.2"/>
    <row r="46" spans="1:12" collapsed="1" x14ac:dyDescent="0.2">
      <c r="A46" s="73">
        <v>650</v>
      </c>
      <c r="B46" s="52" t="s">
        <v>21</v>
      </c>
      <c r="C46" s="52" t="s">
        <v>139</v>
      </c>
      <c r="D46" s="52" t="s">
        <v>136</v>
      </c>
      <c r="E46" s="179" t="s">
        <v>214</v>
      </c>
    </row>
    <row r="47" spans="1:12" hidden="1" outlineLevel="1" x14ac:dyDescent="0.2">
      <c r="B47" s="52" t="s">
        <v>21</v>
      </c>
      <c r="C47" s="52" t="s">
        <v>139</v>
      </c>
      <c r="D47" s="52" t="s">
        <v>136</v>
      </c>
      <c r="E47" s="79" t="s">
        <v>103</v>
      </c>
      <c r="F47" s="80">
        <v>0.42</v>
      </c>
      <c r="G47" s="81">
        <v>0.44500000000000001</v>
      </c>
      <c r="H47" s="82">
        <v>0.47</v>
      </c>
      <c r="I47" s="83">
        <v>0.48</v>
      </c>
      <c r="J47" s="82">
        <v>0.49</v>
      </c>
      <c r="K47" s="81">
        <v>0.51</v>
      </c>
      <c r="L47" s="80">
        <v>0.53</v>
      </c>
    </row>
    <row r="48" spans="1:12" hidden="1" outlineLevel="1" x14ac:dyDescent="0.2">
      <c r="B48" s="52" t="s">
        <v>21</v>
      </c>
      <c r="C48" s="52" t="s">
        <v>139</v>
      </c>
      <c r="D48" s="52" t="s">
        <v>136</v>
      </c>
      <c r="E48" s="79" t="s">
        <v>104</v>
      </c>
      <c r="F48" s="83"/>
      <c r="G48" s="83"/>
      <c r="H48" s="82">
        <v>1.4999999999999999E-2</v>
      </c>
      <c r="I48" s="83">
        <v>0.02</v>
      </c>
      <c r="J48" s="82">
        <v>2.5000000000000001E-2</v>
      </c>
      <c r="K48" s="81">
        <v>3.5000000000000003E-2</v>
      </c>
      <c r="L48" s="80">
        <v>0.05</v>
      </c>
    </row>
    <row r="49" spans="1:12" hidden="1" outlineLevel="1" x14ac:dyDescent="0.2">
      <c r="B49" s="52" t="s">
        <v>21</v>
      </c>
      <c r="C49" s="52" t="s">
        <v>139</v>
      </c>
      <c r="D49" s="52" t="s">
        <v>136</v>
      </c>
      <c r="E49" s="79" t="s">
        <v>105</v>
      </c>
      <c r="F49" s="83"/>
      <c r="G49" s="83"/>
      <c r="H49" s="82">
        <v>0.155</v>
      </c>
      <c r="I49" s="83">
        <v>0.16</v>
      </c>
      <c r="J49" s="82">
        <v>0.17</v>
      </c>
      <c r="K49" s="81">
        <v>0.19500000000000001</v>
      </c>
      <c r="L49" s="80">
        <v>0.21</v>
      </c>
    </row>
    <row r="50" spans="1:12" hidden="1" outlineLevel="1" x14ac:dyDescent="0.2">
      <c r="B50" s="52" t="s">
        <v>21</v>
      </c>
      <c r="C50" s="52" t="s">
        <v>139</v>
      </c>
      <c r="D50" s="52" t="s">
        <v>136</v>
      </c>
      <c r="E50" s="79" t="s">
        <v>106</v>
      </c>
      <c r="F50" s="83"/>
      <c r="G50" s="83"/>
      <c r="H50" s="83"/>
      <c r="I50" s="83">
        <v>4.4999999999999998E-2</v>
      </c>
      <c r="J50" s="83"/>
      <c r="K50" s="81">
        <v>0.06</v>
      </c>
      <c r="L50" s="80">
        <v>7.0000000000000007E-2</v>
      </c>
    </row>
    <row r="51" spans="1:12" hidden="1" outlineLevel="1" x14ac:dyDescent="0.2">
      <c r="B51" s="52" t="s">
        <v>21</v>
      </c>
      <c r="C51" s="52" t="s">
        <v>139</v>
      </c>
      <c r="D51" s="52" t="s">
        <v>136</v>
      </c>
      <c r="E51" s="79" t="s">
        <v>107</v>
      </c>
      <c r="F51" s="83"/>
      <c r="G51" s="83"/>
      <c r="H51" s="83"/>
      <c r="I51" s="83">
        <v>3.5000000000000003E-2</v>
      </c>
      <c r="J51" s="83"/>
      <c r="K51" s="81">
        <v>0.05</v>
      </c>
      <c r="L51" s="80">
        <v>0.06</v>
      </c>
    </row>
    <row r="52" spans="1:12" hidden="1" outlineLevel="1" x14ac:dyDescent="0.2">
      <c r="B52" s="52" t="s">
        <v>21</v>
      </c>
      <c r="C52" s="52" t="s">
        <v>139</v>
      </c>
      <c r="D52" s="52" t="s">
        <v>136</v>
      </c>
      <c r="E52" s="79" t="s">
        <v>108</v>
      </c>
      <c r="F52" s="83"/>
      <c r="G52" s="83"/>
      <c r="H52" s="83"/>
      <c r="I52" s="83">
        <v>0.05</v>
      </c>
      <c r="J52" s="83"/>
      <c r="K52" s="81">
        <v>0.06</v>
      </c>
      <c r="L52" s="80">
        <v>7.0000000000000007E-2</v>
      </c>
    </row>
    <row r="53" spans="1:12" hidden="1" outlineLevel="1" x14ac:dyDescent="0.2">
      <c r="B53" s="52" t="s">
        <v>21</v>
      </c>
      <c r="C53" s="52" t="s">
        <v>139</v>
      </c>
      <c r="D53" s="52" t="s">
        <v>136</v>
      </c>
      <c r="E53" s="79" t="s">
        <v>109</v>
      </c>
      <c r="F53" s="80">
        <v>0.03</v>
      </c>
      <c r="G53" s="81">
        <v>0.04</v>
      </c>
      <c r="H53" s="82">
        <v>4.4999999999999998E-2</v>
      </c>
      <c r="I53" s="83">
        <v>0.05</v>
      </c>
      <c r="J53" s="82">
        <v>5.5E-2</v>
      </c>
      <c r="K53" s="83"/>
      <c r="L53" s="83"/>
    </row>
    <row r="54" spans="1:12" hidden="1" outlineLevel="1" x14ac:dyDescent="0.2">
      <c r="B54" s="52" t="s">
        <v>21</v>
      </c>
      <c r="C54" s="52" t="s">
        <v>139</v>
      </c>
      <c r="D54" s="52" t="s">
        <v>136</v>
      </c>
      <c r="E54" s="84" t="s">
        <v>110</v>
      </c>
      <c r="F54" s="83"/>
      <c r="G54" s="83"/>
      <c r="H54" s="83"/>
      <c r="I54" s="83">
        <v>0.01</v>
      </c>
      <c r="J54" s="83"/>
      <c r="K54" s="81">
        <v>1.4999999999999999E-2</v>
      </c>
      <c r="L54" s="80">
        <v>0.02</v>
      </c>
    </row>
    <row r="55" spans="1:12" hidden="1" outlineLevel="1" x14ac:dyDescent="0.2">
      <c r="B55" s="52" t="s">
        <v>21</v>
      </c>
      <c r="C55" s="52" t="s">
        <v>139</v>
      </c>
      <c r="D55" s="52" t="s">
        <v>136</v>
      </c>
      <c r="E55" s="84" t="s">
        <v>34</v>
      </c>
      <c r="F55" s="83"/>
      <c r="G55" s="83"/>
      <c r="H55" s="82">
        <v>0.06</v>
      </c>
      <c r="I55" s="83">
        <v>7.0000000000000007E-2</v>
      </c>
      <c r="J55" s="82">
        <v>7.4999999999999997E-2</v>
      </c>
      <c r="K55" s="81">
        <v>0.09</v>
      </c>
      <c r="L55" s="80">
        <v>0.1</v>
      </c>
    </row>
    <row r="56" spans="1:12" hidden="1" outlineLevel="1" x14ac:dyDescent="0.2">
      <c r="B56" s="52" t="s">
        <v>21</v>
      </c>
      <c r="C56" s="52" t="s">
        <v>139</v>
      </c>
      <c r="D56" s="52" t="s">
        <v>136</v>
      </c>
      <c r="E56" s="84" t="s">
        <v>4</v>
      </c>
      <c r="F56" s="85">
        <v>20.5</v>
      </c>
      <c r="G56" s="86">
        <v>21.5</v>
      </c>
      <c r="H56" s="87">
        <v>22.5</v>
      </c>
      <c r="I56" s="88">
        <v>23</v>
      </c>
      <c r="J56" s="87">
        <v>24</v>
      </c>
      <c r="K56" s="86">
        <v>25</v>
      </c>
      <c r="L56" s="85">
        <v>26.5</v>
      </c>
    </row>
    <row r="57" spans="1:12" hidden="1" outlineLevel="1" x14ac:dyDescent="0.2">
      <c r="B57" s="52" t="s">
        <v>21</v>
      </c>
      <c r="C57" s="52" t="s">
        <v>139</v>
      </c>
      <c r="D57" s="52" t="s">
        <v>136</v>
      </c>
      <c r="E57" s="84" t="s">
        <v>14</v>
      </c>
      <c r="F57" s="85">
        <v>9.5</v>
      </c>
      <c r="G57" s="86">
        <v>10</v>
      </c>
      <c r="H57" s="87">
        <v>11</v>
      </c>
      <c r="I57" s="88">
        <v>11</v>
      </c>
      <c r="J57" s="87">
        <v>11.5</v>
      </c>
      <c r="K57" s="86">
        <v>12.5</v>
      </c>
      <c r="L57" s="85">
        <v>13</v>
      </c>
    </row>
    <row r="58" spans="1:12" hidden="1" outlineLevel="1" x14ac:dyDescent="0.2">
      <c r="B58" s="52" t="s">
        <v>21</v>
      </c>
      <c r="C58" s="52" t="s">
        <v>139</v>
      </c>
      <c r="D58" s="52" t="s">
        <v>136</v>
      </c>
      <c r="E58" s="84" t="s">
        <v>0</v>
      </c>
      <c r="F58" s="85">
        <v>28</v>
      </c>
      <c r="G58" s="86">
        <v>28.5</v>
      </c>
      <c r="H58" s="87">
        <v>29</v>
      </c>
      <c r="I58" s="88">
        <v>29.5</v>
      </c>
      <c r="J58" s="87">
        <v>29.5</v>
      </c>
      <c r="K58" s="86">
        <v>30</v>
      </c>
      <c r="L58" s="85">
        <v>30.5</v>
      </c>
    </row>
    <row r="59" spans="1:12" hidden="1" outlineLevel="1" x14ac:dyDescent="0.2"/>
    <row r="60" spans="1:12" collapsed="1" x14ac:dyDescent="0.2">
      <c r="A60" s="73">
        <v>880</v>
      </c>
      <c r="B60" s="52" t="s">
        <v>21</v>
      </c>
      <c r="C60" s="52" t="s">
        <v>135</v>
      </c>
      <c r="D60" s="52" t="s">
        <v>140</v>
      </c>
      <c r="E60" s="179" t="s">
        <v>215</v>
      </c>
    </row>
    <row r="61" spans="1:12" hidden="1" outlineLevel="1" x14ac:dyDescent="0.2">
      <c r="B61" s="52" t="s">
        <v>21</v>
      </c>
      <c r="C61" s="52" t="s">
        <v>135</v>
      </c>
      <c r="D61" s="52" t="s">
        <v>140</v>
      </c>
      <c r="E61" s="79" t="s">
        <v>103</v>
      </c>
      <c r="F61" s="80">
        <v>0.38</v>
      </c>
      <c r="G61" s="81">
        <v>0.41499999999999998</v>
      </c>
      <c r="H61" s="82">
        <v>0.44500000000000001</v>
      </c>
      <c r="I61" s="83">
        <v>0.45500000000000002</v>
      </c>
      <c r="J61" s="82">
        <v>0.47499999999999998</v>
      </c>
      <c r="K61" s="81">
        <v>0.51</v>
      </c>
      <c r="L61" s="80">
        <v>0.53500000000000003</v>
      </c>
    </row>
    <row r="62" spans="1:12" hidden="1" outlineLevel="1" x14ac:dyDescent="0.2">
      <c r="B62" s="52" t="s">
        <v>21</v>
      </c>
      <c r="C62" s="52" t="s">
        <v>135</v>
      </c>
      <c r="D62" s="52" t="s">
        <v>140</v>
      </c>
      <c r="E62" s="79" t="s">
        <v>104</v>
      </c>
      <c r="F62" s="83"/>
      <c r="G62" s="83"/>
      <c r="H62" s="82">
        <v>0.02</v>
      </c>
      <c r="I62" s="83">
        <v>2.5000000000000001E-2</v>
      </c>
      <c r="J62" s="82">
        <v>0.03</v>
      </c>
      <c r="K62" s="81">
        <v>4.4999999999999998E-2</v>
      </c>
      <c r="L62" s="80">
        <v>6.5000000000000002E-2</v>
      </c>
    </row>
    <row r="63" spans="1:12" hidden="1" outlineLevel="1" x14ac:dyDescent="0.2">
      <c r="B63" s="52" t="s">
        <v>21</v>
      </c>
      <c r="C63" s="52" t="s">
        <v>135</v>
      </c>
      <c r="D63" s="52" t="s">
        <v>140</v>
      </c>
      <c r="E63" s="79" t="s">
        <v>105</v>
      </c>
      <c r="F63" s="83"/>
      <c r="G63" s="83"/>
      <c r="H63" s="82">
        <v>0.13</v>
      </c>
      <c r="I63" s="83">
        <v>0.14499999999999999</v>
      </c>
      <c r="J63" s="82">
        <v>0.155</v>
      </c>
      <c r="K63" s="81">
        <v>0.18</v>
      </c>
      <c r="L63" s="80">
        <v>0.2</v>
      </c>
    </row>
    <row r="64" spans="1:12" hidden="1" outlineLevel="1" x14ac:dyDescent="0.2">
      <c r="B64" s="52" t="s">
        <v>21</v>
      </c>
      <c r="C64" s="52" t="s">
        <v>135</v>
      </c>
      <c r="D64" s="52" t="s">
        <v>140</v>
      </c>
      <c r="E64" s="79" t="s">
        <v>106</v>
      </c>
      <c r="F64" s="83"/>
      <c r="G64" s="83"/>
      <c r="H64" s="83"/>
      <c r="I64" s="83">
        <v>5.5E-2</v>
      </c>
      <c r="J64" s="83"/>
      <c r="K64" s="81">
        <v>7.0000000000000007E-2</v>
      </c>
      <c r="L64" s="80">
        <v>8.5000000000000006E-2</v>
      </c>
    </row>
    <row r="65" spans="1:12" hidden="1" outlineLevel="1" x14ac:dyDescent="0.2">
      <c r="B65" s="52" t="s">
        <v>21</v>
      </c>
      <c r="C65" s="52" t="s">
        <v>135</v>
      </c>
      <c r="D65" s="52" t="s">
        <v>140</v>
      </c>
      <c r="E65" s="79" t="s">
        <v>107</v>
      </c>
      <c r="F65" s="83"/>
      <c r="G65" s="83"/>
      <c r="H65" s="83"/>
      <c r="I65" s="83">
        <v>3.5000000000000003E-2</v>
      </c>
      <c r="J65" s="83"/>
      <c r="K65" s="81">
        <v>0.05</v>
      </c>
      <c r="L65" s="80">
        <v>6.5000000000000002E-2</v>
      </c>
    </row>
    <row r="66" spans="1:12" hidden="1" outlineLevel="1" x14ac:dyDescent="0.2">
      <c r="B66" s="52" t="s">
        <v>21</v>
      </c>
      <c r="C66" s="52" t="s">
        <v>135</v>
      </c>
      <c r="D66" s="52" t="s">
        <v>140</v>
      </c>
      <c r="E66" s="79" t="s">
        <v>108</v>
      </c>
      <c r="F66" s="83"/>
      <c r="G66" s="83"/>
      <c r="H66" s="83"/>
      <c r="I66" s="83">
        <v>0.05</v>
      </c>
      <c r="J66" s="83"/>
      <c r="K66" s="81">
        <v>6.5000000000000002E-2</v>
      </c>
      <c r="L66" s="80">
        <v>7.4999999999999997E-2</v>
      </c>
    </row>
    <row r="67" spans="1:12" hidden="1" outlineLevel="1" x14ac:dyDescent="0.2">
      <c r="B67" s="52" t="s">
        <v>21</v>
      </c>
      <c r="C67" s="52" t="s">
        <v>135</v>
      </c>
      <c r="D67" s="52" t="s">
        <v>140</v>
      </c>
      <c r="E67" s="79" t="s">
        <v>109</v>
      </c>
      <c r="F67" s="80">
        <v>0.03</v>
      </c>
      <c r="G67" s="81">
        <v>0.04</v>
      </c>
      <c r="H67" s="82">
        <v>0.05</v>
      </c>
      <c r="I67" s="83">
        <v>5.5E-2</v>
      </c>
      <c r="J67" s="82">
        <v>0.06</v>
      </c>
      <c r="K67" s="83"/>
      <c r="L67" s="83"/>
    </row>
    <row r="68" spans="1:12" hidden="1" outlineLevel="1" x14ac:dyDescent="0.2">
      <c r="B68" s="52" t="s">
        <v>21</v>
      </c>
      <c r="C68" s="52" t="s">
        <v>135</v>
      </c>
      <c r="D68" s="52" t="s">
        <v>140</v>
      </c>
      <c r="E68" s="79" t="s">
        <v>110</v>
      </c>
      <c r="F68" s="83"/>
      <c r="G68" s="83"/>
      <c r="H68" s="83"/>
      <c r="I68" s="83">
        <v>0.01</v>
      </c>
      <c r="J68" s="83"/>
      <c r="K68" s="81">
        <v>1.4999999999999999E-2</v>
      </c>
      <c r="L68" s="80">
        <v>0.02</v>
      </c>
    </row>
    <row r="69" spans="1:12" hidden="1" outlineLevel="1" x14ac:dyDescent="0.2">
      <c r="B69" s="52" t="s">
        <v>21</v>
      </c>
      <c r="C69" s="52" t="s">
        <v>135</v>
      </c>
      <c r="D69" s="52" t="s">
        <v>140</v>
      </c>
      <c r="E69" s="79" t="s">
        <v>34</v>
      </c>
      <c r="F69" s="83"/>
      <c r="G69" s="83"/>
      <c r="H69" s="82">
        <v>0.105</v>
      </c>
      <c r="I69" s="83">
        <v>0.12</v>
      </c>
      <c r="J69" s="82">
        <v>0.13500000000000001</v>
      </c>
      <c r="K69" s="81">
        <v>0.17499999999999999</v>
      </c>
      <c r="L69" s="80">
        <v>0.20499999999999999</v>
      </c>
    </row>
    <row r="70" spans="1:12" hidden="1" outlineLevel="1" x14ac:dyDescent="0.2">
      <c r="B70" s="52" t="s">
        <v>21</v>
      </c>
      <c r="C70" s="52" t="s">
        <v>135</v>
      </c>
      <c r="D70" s="52" t="s">
        <v>140</v>
      </c>
      <c r="E70" s="79" t="s">
        <v>4</v>
      </c>
      <c r="F70" s="85">
        <v>12</v>
      </c>
      <c r="G70" s="86">
        <v>14</v>
      </c>
      <c r="H70" s="87">
        <v>16</v>
      </c>
      <c r="I70" s="88">
        <v>17</v>
      </c>
      <c r="J70" s="87">
        <v>17.5</v>
      </c>
      <c r="K70" s="86">
        <v>20</v>
      </c>
      <c r="L70" s="85">
        <v>21.5</v>
      </c>
    </row>
    <row r="71" spans="1:12" hidden="1" outlineLevel="1" x14ac:dyDescent="0.2">
      <c r="B71" s="52" t="s">
        <v>21</v>
      </c>
      <c r="C71" s="52" t="s">
        <v>135</v>
      </c>
      <c r="D71" s="52" t="s">
        <v>140</v>
      </c>
      <c r="E71" s="79" t="s">
        <v>14</v>
      </c>
      <c r="F71" s="85">
        <v>5.5</v>
      </c>
      <c r="G71" s="86">
        <v>6.5</v>
      </c>
      <c r="H71" s="87">
        <v>7.5</v>
      </c>
      <c r="I71" s="88">
        <v>8</v>
      </c>
      <c r="J71" s="87">
        <v>8.5</v>
      </c>
      <c r="K71" s="86">
        <v>9.5</v>
      </c>
      <c r="L71" s="85">
        <v>10.5</v>
      </c>
    </row>
    <row r="72" spans="1:12" hidden="1" outlineLevel="1" x14ac:dyDescent="0.2">
      <c r="B72" s="52" t="s">
        <v>21</v>
      </c>
      <c r="C72" s="52" t="s">
        <v>135</v>
      </c>
      <c r="D72" s="52" t="s">
        <v>140</v>
      </c>
      <c r="E72" s="79" t="s">
        <v>0</v>
      </c>
      <c r="F72" s="85">
        <v>14.5</v>
      </c>
      <c r="G72" s="86">
        <v>17</v>
      </c>
      <c r="H72" s="87">
        <v>20</v>
      </c>
      <c r="I72" s="88">
        <v>21.5</v>
      </c>
      <c r="J72" s="87">
        <v>22.5</v>
      </c>
      <c r="K72" s="86">
        <v>24.5</v>
      </c>
      <c r="L72" s="85">
        <v>26</v>
      </c>
    </row>
    <row r="73" spans="1:12" hidden="1" outlineLevel="1" x14ac:dyDescent="0.2"/>
    <row r="74" spans="1:12" collapsed="1" x14ac:dyDescent="0.2">
      <c r="A74" s="73">
        <v>994</v>
      </c>
      <c r="B74" s="52" t="s">
        <v>21</v>
      </c>
      <c r="C74" s="52" t="s">
        <v>137</v>
      </c>
      <c r="D74" s="52" t="s">
        <v>140</v>
      </c>
      <c r="E74" s="179" t="s">
        <v>216</v>
      </c>
    </row>
    <row r="75" spans="1:12" hidden="1" outlineLevel="1" x14ac:dyDescent="0.2">
      <c r="B75" s="52" t="s">
        <v>21</v>
      </c>
      <c r="C75" s="52" t="s">
        <v>137</v>
      </c>
      <c r="D75" s="52" t="s">
        <v>140</v>
      </c>
      <c r="E75" s="79" t="s">
        <v>103</v>
      </c>
      <c r="F75" s="80">
        <v>0.38500000000000001</v>
      </c>
      <c r="G75" s="81">
        <v>0.41</v>
      </c>
      <c r="H75" s="82">
        <v>0.44500000000000001</v>
      </c>
      <c r="I75" s="83">
        <v>0.45500000000000002</v>
      </c>
      <c r="J75" s="82">
        <v>0.47</v>
      </c>
      <c r="K75" s="81">
        <v>0.495</v>
      </c>
      <c r="L75" s="80">
        <v>0.52500000000000002</v>
      </c>
    </row>
    <row r="76" spans="1:12" hidden="1" outlineLevel="1" x14ac:dyDescent="0.2">
      <c r="B76" s="52" t="s">
        <v>21</v>
      </c>
      <c r="C76" s="52" t="s">
        <v>137</v>
      </c>
      <c r="D76" s="52" t="s">
        <v>140</v>
      </c>
      <c r="E76" s="79" t="s">
        <v>104</v>
      </c>
      <c r="F76" s="83"/>
      <c r="G76" s="83"/>
      <c r="H76" s="82">
        <v>0.02</v>
      </c>
      <c r="I76" s="83">
        <v>2.5000000000000001E-2</v>
      </c>
      <c r="J76" s="82">
        <v>0.03</v>
      </c>
      <c r="K76" s="81">
        <v>0.04</v>
      </c>
      <c r="L76" s="80">
        <v>5.5E-2</v>
      </c>
    </row>
    <row r="77" spans="1:12" hidden="1" outlineLevel="1" x14ac:dyDescent="0.2">
      <c r="B77" s="52" t="s">
        <v>21</v>
      </c>
      <c r="C77" s="52" t="s">
        <v>137</v>
      </c>
      <c r="D77" s="52" t="s">
        <v>140</v>
      </c>
      <c r="E77" s="79" t="s">
        <v>105</v>
      </c>
      <c r="F77" s="83"/>
      <c r="G77" s="83"/>
      <c r="H77" s="82">
        <v>0.15</v>
      </c>
      <c r="I77" s="83">
        <v>0.16</v>
      </c>
      <c r="J77" s="82">
        <v>0.17</v>
      </c>
      <c r="K77" s="81">
        <v>0.19500000000000001</v>
      </c>
      <c r="L77" s="80">
        <v>0.22</v>
      </c>
    </row>
    <row r="78" spans="1:12" hidden="1" outlineLevel="1" x14ac:dyDescent="0.2">
      <c r="B78" s="52" t="s">
        <v>21</v>
      </c>
      <c r="C78" s="52" t="s">
        <v>137</v>
      </c>
      <c r="D78" s="52" t="s">
        <v>140</v>
      </c>
      <c r="E78" s="79" t="s">
        <v>106</v>
      </c>
      <c r="F78" s="83"/>
      <c r="G78" s="83"/>
      <c r="H78" s="83"/>
      <c r="I78" s="83">
        <v>0.05</v>
      </c>
      <c r="J78" s="83"/>
      <c r="K78" s="81">
        <v>6.5000000000000002E-2</v>
      </c>
      <c r="L78" s="80">
        <v>7.4999999999999997E-2</v>
      </c>
    </row>
    <row r="79" spans="1:12" hidden="1" outlineLevel="1" x14ac:dyDescent="0.2">
      <c r="B79" s="52" t="s">
        <v>21</v>
      </c>
      <c r="C79" s="52" t="s">
        <v>137</v>
      </c>
      <c r="D79" s="52" t="s">
        <v>140</v>
      </c>
      <c r="E79" s="79" t="s">
        <v>107</v>
      </c>
      <c r="F79" s="83"/>
      <c r="G79" s="83"/>
      <c r="H79" s="83"/>
      <c r="I79" s="83">
        <v>3.5000000000000003E-2</v>
      </c>
      <c r="J79" s="83"/>
      <c r="K79" s="81">
        <v>0.05</v>
      </c>
      <c r="L79" s="80">
        <v>6.5000000000000002E-2</v>
      </c>
    </row>
    <row r="80" spans="1:12" hidden="1" outlineLevel="1" x14ac:dyDescent="0.2">
      <c r="B80" s="52" t="s">
        <v>21</v>
      </c>
      <c r="C80" s="52" t="s">
        <v>137</v>
      </c>
      <c r="D80" s="52" t="s">
        <v>140</v>
      </c>
      <c r="E80" s="79" t="s">
        <v>108</v>
      </c>
      <c r="F80" s="83"/>
      <c r="G80" s="83"/>
      <c r="H80" s="83"/>
      <c r="I80" s="83">
        <v>0.05</v>
      </c>
      <c r="J80" s="83"/>
      <c r="K80" s="81">
        <v>6.5000000000000002E-2</v>
      </c>
      <c r="L80" s="80">
        <v>7.4999999999999997E-2</v>
      </c>
    </row>
    <row r="81" spans="1:12" hidden="1" outlineLevel="1" x14ac:dyDescent="0.2">
      <c r="B81" s="52" t="s">
        <v>21</v>
      </c>
      <c r="C81" s="52" t="s">
        <v>137</v>
      </c>
      <c r="D81" s="52" t="s">
        <v>140</v>
      </c>
      <c r="E81" s="79" t="s">
        <v>109</v>
      </c>
      <c r="F81" s="80">
        <v>0.03</v>
      </c>
      <c r="G81" s="81">
        <v>3.5000000000000003E-2</v>
      </c>
      <c r="H81" s="82">
        <v>4.4999999999999998E-2</v>
      </c>
      <c r="I81" s="83">
        <v>0.05</v>
      </c>
      <c r="J81" s="82">
        <v>5.5E-2</v>
      </c>
      <c r="K81" s="83"/>
      <c r="L81" s="83"/>
    </row>
    <row r="82" spans="1:12" hidden="1" outlineLevel="1" x14ac:dyDescent="0.2">
      <c r="B82" s="52" t="s">
        <v>21</v>
      </c>
      <c r="C82" s="52" t="s">
        <v>137</v>
      </c>
      <c r="D82" s="52" t="s">
        <v>140</v>
      </c>
      <c r="E82" s="79" t="s">
        <v>110</v>
      </c>
      <c r="F82" s="83"/>
      <c r="G82" s="83"/>
      <c r="H82" s="83"/>
      <c r="I82" s="83">
        <v>0.01</v>
      </c>
      <c r="J82" s="83"/>
      <c r="K82" s="81">
        <v>1.4999999999999999E-2</v>
      </c>
      <c r="L82" s="80">
        <v>0.02</v>
      </c>
    </row>
    <row r="83" spans="1:12" hidden="1" outlineLevel="1" x14ac:dyDescent="0.2">
      <c r="B83" s="52" t="s">
        <v>21</v>
      </c>
      <c r="C83" s="52" t="s">
        <v>137</v>
      </c>
      <c r="D83" s="52" t="s">
        <v>140</v>
      </c>
      <c r="E83" s="79" t="s">
        <v>34</v>
      </c>
      <c r="F83" s="83"/>
      <c r="G83" s="83"/>
      <c r="H83" s="82">
        <v>9.5000000000000001E-2</v>
      </c>
      <c r="I83" s="83">
        <v>0.11</v>
      </c>
      <c r="J83" s="82">
        <v>0.12</v>
      </c>
      <c r="K83" s="81">
        <v>0.14000000000000001</v>
      </c>
      <c r="L83" s="80">
        <v>0.16500000000000001</v>
      </c>
    </row>
    <row r="84" spans="1:12" hidden="1" outlineLevel="1" x14ac:dyDescent="0.2">
      <c r="B84" s="52" t="s">
        <v>21</v>
      </c>
      <c r="C84" s="52" t="s">
        <v>137</v>
      </c>
      <c r="D84" s="52" t="s">
        <v>140</v>
      </c>
      <c r="E84" s="79" t="s">
        <v>4</v>
      </c>
      <c r="F84" s="85">
        <v>16.5</v>
      </c>
      <c r="G84" s="86">
        <v>17.5</v>
      </c>
      <c r="H84" s="87">
        <v>19</v>
      </c>
      <c r="I84" s="88">
        <v>20</v>
      </c>
      <c r="J84" s="87">
        <v>20.5</v>
      </c>
      <c r="K84" s="86">
        <v>22.5</v>
      </c>
      <c r="L84" s="85">
        <v>24</v>
      </c>
    </row>
    <row r="85" spans="1:12" hidden="1" outlineLevel="1" x14ac:dyDescent="0.2">
      <c r="B85" s="52" t="s">
        <v>21</v>
      </c>
      <c r="C85" s="52" t="s">
        <v>137</v>
      </c>
      <c r="D85" s="52" t="s">
        <v>140</v>
      </c>
      <c r="E85" s="79" t="s">
        <v>14</v>
      </c>
      <c r="F85" s="85">
        <v>7</v>
      </c>
      <c r="G85" s="86">
        <v>8</v>
      </c>
      <c r="H85" s="87">
        <v>8.5</v>
      </c>
      <c r="I85" s="88">
        <v>9</v>
      </c>
      <c r="J85" s="87">
        <v>9.5</v>
      </c>
      <c r="K85" s="86">
        <v>10.5</v>
      </c>
      <c r="L85" s="85">
        <v>11.5</v>
      </c>
    </row>
    <row r="86" spans="1:12" hidden="1" outlineLevel="1" x14ac:dyDescent="0.2">
      <c r="B86" s="52" t="s">
        <v>21</v>
      </c>
      <c r="C86" s="52" t="s">
        <v>137</v>
      </c>
      <c r="D86" s="52" t="s">
        <v>140</v>
      </c>
      <c r="E86" s="79" t="s">
        <v>0</v>
      </c>
      <c r="F86" s="85">
        <v>21.5</v>
      </c>
      <c r="G86" s="86">
        <v>23</v>
      </c>
      <c r="H86" s="87">
        <v>24.5</v>
      </c>
      <c r="I86" s="88">
        <v>25.5</v>
      </c>
      <c r="J86" s="87">
        <v>26.5</v>
      </c>
      <c r="K86" s="86">
        <v>28</v>
      </c>
      <c r="L86" s="85">
        <v>29</v>
      </c>
    </row>
    <row r="87" spans="1:12" hidden="1" outlineLevel="1" x14ac:dyDescent="0.2"/>
    <row r="88" spans="1:12" collapsed="1" x14ac:dyDescent="0.2">
      <c r="A88" s="89">
        <v>3735</v>
      </c>
      <c r="B88" s="52" t="s">
        <v>21</v>
      </c>
      <c r="C88" s="52" t="s">
        <v>138</v>
      </c>
      <c r="D88" s="52" t="s">
        <v>140</v>
      </c>
      <c r="E88" s="179" t="s">
        <v>217</v>
      </c>
    </row>
    <row r="89" spans="1:12" hidden="1" outlineLevel="1" x14ac:dyDescent="0.2">
      <c r="B89" s="52" t="s">
        <v>21</v>
      </c>
      <c r="C89" s="52" t="s">
        <v>138</v>
      </c>
      <c r="D89" s="52" t="s">
        <v>140</v>
      </c>
      <c r="E89" s="79" t="s">
        <v>103</v>
      </c>
      <c r="F89" s="80">
        <v>0.39</v>
      </c>
      <c r="G89" s="81">
        <v>0.41499999999999998</v>
      </c>
      <c r="H89" s="82">
        <v>0.44</v>
      </c>
      <c r="I89" s="83">
        <v>0.45500000000000002</v>
      </c>
      <c r="J89" s="82">
        <v>0.46500000000000002</v>
      </c>
      <c r="K89" s="81">
        <v>0.495</v>
      </c>
      <c r="L89" s="80">
        <v>0.51500000000000001</v>
      </c>
    </row>
    <row r="90" spans="1:12" hidden="1" outlineLevel="1" x14ac:dyDescent="0.2">
      <c r="B90" s="52" t="s">
        <v>21</v>
      </c>
      <c r="C90" s="52" t="s">
        <v>138</v>
      </c>
      <c r="D90" s="52" t="s">
        <v>140</v>
      </c>
      <c r="E90" s="79" t="s">
        <v>104</v>
      </c>
      <c r="F90" s="83"/>
      <c r="G90" s="83"/>
      <c r="H90" s="82">
        <v>0.02</v>
      </c>
      <c r="I90" s="83">
        <v>2.5000000000000001E-2</v>
      </c>
      <c r="J90" s="82">
        <v>0.03</v>
      </c>
      <c r="K90" s="81">
        <v>0.04</v>
      </c>
      <c r="L90" s="80">
        <v>5.5E-2</v>
      </c>
    </row>
    <row r="91" spans="1:12" hidden="1" outlineLevel="1" x14ac:dyDescent="0.2">
      <c r="B91" s="52" t="s">
        <v>21</v>
      </c>
      <c r="C91" s="52" t="s">
        <v>138</v>
      </c>
      <c r="D91" s="52" t="s">
        <v>140</v>
      </c>
      <c r="E91" s="79" t="s">
        <v>105</v>
      </c>
      <c r="F91" s="83"/>
      <c r="G91" s="83"/>
      <c r="H91" s="82">
        <v>0.16500000000000001</v>
      </c>
      <c r="I91" s="83">
        <v>0.17499999999999999</v>
      </c>
      <c r="J91" s="82">
        <v>0.185</v>
      </c>
      <c r="K91" s="81">
        <v>0.21</v>
      </c>
      <c r="L91" s="80">
        <v>0.23499999999999999</v>
      </c>
    </row>
    <row r="92" spans="1:12" hidden="1" outlineLevel="1" x14ac:dyDescent="0.2">
      <c r="B92" s="52" t="s">
        <v>21</v>
      </c>
      <c r="C92" s="52" t="s">
        <v>138</v>
      </c>
      <c r="D92" s="52" t="s">
        <v>140</v>
      </c>
      <c r="E92" s="79" t="s">
        <v>106</v>
      </c>
      <c r="F92" s="83"/>
      <c r="G92" s="83"/>
      <c r="H92" s="83"/>
      <c r="I92" s="83">
        <v>4.4999999999999998E-2</v>
      </c>
      <c r="J92" s="83"/>
      <c r="K92" s="81">
        <v>0.06</v>
      </c>
      <c r="L92" s="80">
        <v>7.0000000000000007E-2</v>
      </c>
    </row>
    <row r="93" spans="1:12" hidden="1" outlineLevel="1" x14ac:dyDescent="0.2">
      <c r="B93" s="52" t="s">
        <v>21</v>
      </c>
      <c r="C93" s="52" t="s">
        <v>138</v>
      </c>
      <c r="D93" s="52" t="s">
        <v>140</v>
      </c>
      <c r="E93" s="79" t="s">
        <v>107</v>
      </c>
      <c r="F93" s="83"/>
      <c r="G93" s="83"/>
      <c r="H93" s="83"/>
      <c r="I93" s="83">
        <v>3.5000000000000003E-2</v>
      </c>
      <c r="J93" s="83"/>
      <c r="K93" s="81">
        <v>0.05</v>
      </c>
      <c r="L93" s="80">
        <v>0.06</v>
      </c>
    </row>
    <row r="94" spans="1:12" hidden="1" outlineLevel="1" x14ac:dyDescent="0.2">
      <c r="B94" s="52" t="s">
        <v>21</v>
      </c>
      <c r="C94" s="52" t="s">
        <v>138</v>
      </c>
      <c r="D94" s="52" t="s">
        <v>140</v>
      </c>
      <c r="E94" s="79" t="s">
        <v>108</v>
      </c>
      <c r="F94" s="83"/>
      <c r="G94" s="83"/>
      <c r="H94" s="83"/>
      <c r="I94" s="83">
        <v>0.05</v>
      </c>
      <c r="J94" s="83"/>
      <c r="K94" s="81">
        <v>6.5000000000000002E-2</v>
      </c>
      <c r="L94" s="80">
        <v>7.4999999999999997E-2</v>
      </c>
    </row>
    <row r="95" spans="1:12" hidden="1" outlineLevel="1" x14ac:dyDescent="0.2">
      <c r="B95" s="52" t="s">
        <v>21</v>
      </c>
      <c r="C95" s="52" t="s">
        <v>138</v>
      </c>
      <c r="D95" s="52" t="s">
        <v>140</v>
      </c>
      <c r="E95" s="79" t="s">
        <v>109</v>
      </c>
      <c r="F95" s="80">
        <v>0.03</v>
      </c>
      <c r="G95" s="81">
        <v>3.5000000000000003E-2</v>
      </c>
      <c r="H95" s="82">
        <v>4.4999999999999998E-2</v>
      </c>
      <c r="I95" s="83">
        <v>0.05</v>
      </c>
      <c r="J95" s="82">
        <v>5.5E-2</v>
      </c>
      <c r="K95" s="83"/>
      <c r="L95" s="83"/>
    </row>
    <row r="96" spans="1:12" hidden="1" outlineLevel="1" x14ac:dyDescent="0.2">
      <c r="B96" s="52" t="s">
        <v>21</v>
      </c>
      <c r="C96" s="52" t="s">
        <v>138</v>
      </c>
      <c r="D96" s="52" t="s">
        <v>140</v>
      </c>
      <c r="E96" s="84" t="s">
        <v>110</v>
      </c>
      <c r="F96" s="83"/>
      <c r="G96" s="83"/>
      <c r="H96" s="83"/>
      <c r="I96" s="83">
        <v>0.01</v>
      </c>
      <c r="J96" s="83"/>
      <c r="K96" s="81">
        <v>1.4999999999999999E-2</v>
      </c>
      <c r="L96" s="80">
        <v>0.02</v>
      </c>
    </row>
    <row r="97" spans="1:12" hidden="1" outlineLevel="1" x14ac:dyDescent="0.2">
      <c r="B97" s="52" t="s">
        <v>21</v>
      </c>
      <c r="C97" s="52" t="s">
        <v>138</v>
      </c>
      <c r="D97" s="52" t="s">
        <v>140</v>
      </c>
      <c r="E97" s="79" t="s">
        <v>34</v>
      </c>
      <c r="F97" s="83"/>
      <c r="G97" s="83"/>
      <c r="H97" s="82">
        <v>0.08</v>
      </c>
      <c r="I97" s="83">
        <v>8.5000000000000006E-2</v>
      </c>
      <c r="J97" s="82">
        <v>9.5000000000000001E-2</v>
      </c>
      <c r="K97" s="81">
        <v>0.11</v>
      </c>
      <c r="L97" s="80">
        <v>0.13</v>
      </c>
    </row>
    <row r="98" spans="1:12" hidden="1" outlineLevel="1" x14ac:dyDescent="0.2">
      <c r="B98" s="52" t="s">
        <v>21</v>
      </c>
      <c r="C98" s="52" t="s">
        <v>138</v>
      </c>
      <c r="D98" s="52" t="s">
        <v>140</v>
      </c>
      <c r="E98" s="79" t="s">
        <v>4</v>
      </c>
      <c r="F98" s="85">
        <v>18</v>
      </c>
      <c r="G98" s="86">
        <v>19.5</v>
      </c>
      <c r="H98" s="87">
        <v>21</v>
      </c>
      <c r="I98" s="88">
        <v>21.5</v>
      </c>
      <c r="J98" s="87">
        <v>22.5</v>
      </c>
      <c r="K98" s="86">
        <v>24</v>
      </c>
      <c r="L98" s="85">
        <v>25.5</v>
      </c>
    </row>
    <row r="99" spans="1:12" hidden="1" outlineLevel="1" x14ac:dyDescent="0.2">
      <c r="B99" s="52" t="s">
        <v>21</v>
      </c>
      <c r="C99" s="52" t="s">
        <v>138</v>
      </c>
      <c r="D99" s="52" t="s">
        <v>140</v>
      </c>
      <c r="E99" s="79" t="s">
        <v>14</v>
      </c>
      <c r="F99" s="85">
        <v>8</v>
      </c>
      <c r="G99" s="86">
        <v>8.5</v>
      </c>
      <c r="H99" s="87">
        <v>9.5</v>
      </c>
      <c r="I99" s="88">
        <v>9.5</v>
      </c>
      <c r="J99" s="87">
        <v>10</v>
      </c>
      <c r="K99" s="86">
        <v>11</v>
      </c>
      <c r="L99" s="85">
        <v>11.5</v>
      </c>
    </row>
    <row r="100" spans="1:12" hidden="1" outlineLevel="1" x14ac:dyDescent="0.2">
      <c r="B100" s="52" t="s">
        <v>21</v>
      </c>
      <c r="C100" s="52" t="s">
        <v>138</v>
      </c>
      <c r="D100" s="52" t="s">
        <v>140</v>
      </c>
      <c r="E100" s="79" t="s">
        <v>0</v>
      </c>
      <c r="F100" s="85">
        <v>24.5</v>
      </c>
      <c r="G100" s="86">
        <v>26</v>
      </c>
      <c r="H100" s="87">
        <v>27.5</v>
      </c>
      <c r="I100" s="88">
        <v>28</v>
      </c>
      <c r="J100" s="87">
        <v>28.5</v>
      </c>
      <c r="K100" s="86">
        <v>29.5</v>
      </c>
      <c r="L100" s="85">
        <v>30</v>
      </c>
    </row>
    <row r="101" spans="1:12" hidden="1" outlineLevel="1" x14ac:dyDescent="0.2"/>
    <row r="102" spans="1:12" collapsed="1" x14ac:dyDescent="0.2">
      <c r="A102" s="89">
        <v>2027</v>
      </c>
      <c r="B102" s="52" t="s">
        <v>21</v>
      </c>
      <c r="C102" s="52" t="s">
        <v>139</v>
      </c>
      <c r="D102" s="52" t="s">
        <v>140</v>
      </c>
      <c r="E102" s="179" t="s">
        <v>218</v>
      </c>
    </row>
    <row r="103" spans="1:12" hidden="1" outlineLevel="1" x14ac:dyDescent="0.2">
      <c r="B103" s="52" t="s">
        <v>21</v>
      </c>
      <c r="C103" s="52" t="s">
        <v>139</v>
      </c>
      <c r="D103" s="52" t="s">
        <v>140</v>
      </c>
      <c r="E103" s="79" t="s">
        <v>103</v>
      </c>
      <c r="F103" s="80">
        <v>0.38500000000000001</v>
      </c>
      <c r="G103" s="81">
        <v>0.41</v>
      </c>
      <c r="H103" s="82">
        <v>0.44500000000000001</v>
      </c>
      <c r="I103" s="83">
        <v>0.45500000000000002</v>
      </c>
      <c r="J103" s="82">
        <v>0.47</v>
      </c>
      <c r="K103" s="81">
        <v>0.495</v>
      </c>
      <c r="L103" s="80">
        <v>0.52</v>
      </c>
    </row>
    <row r="104" spans="1:12" hidden="1" outlineLevel="1" x14ac:dyDescent="0.2">
      <c r="B104" s="52" t="s">
        <v>21</v>
      </c>
      <c r="C104" s="52" t="s">
        <v>139</v>
      </c>
      <c r="D104" s="52" t="s">
        <v>140</v>
      </c>
      <c r="E104" s="79" t="s">
        <v>104</v>
      </c>
      <c r="F104" s="83"/>
      <c r="G104" s="83"/>
      <c r="H104" s="82">
        <v>0.02</v>
      </c>
      <c r="I104" s="83">
        <v>0.02</v>
      </c>
      <c r="J104" s="82">
        <v>0.03</v>
      </c>
      <c r="K104" s="81">
        <v>0.04</v>
      </c>
      <c r="L104" s="80">
        <v>5.5E-2</v>
      </c>
    </row>
    <row r="105" spans="1:12" hidden="1" outlineLevel="1" x14ac:dyDescent="0.2">
      <c r="B105" s="52" t="s">
        <v>21</v>
      </c>
      <c r="C105" s="52" t="s">
        <v>139</v>
      </c>
      <c r="D105" s="52" t="s">
        <v>140</v>
      </c>
      <c r="E105" s="79" t="s">
        <v>105</v>
      </c>
      <c r="F105" s="83"/>
      <c r="G105" s="83"/>
      <c r="H105" s="82">
        <v>0.17499999999999999</v>
      </c>
      <c r="I105" s="83">
        <v>0.185</v>
      </c>
      <c r="J105" s="82">
        <v>0.19500000000000001</v>
      </c>
      <c r="K105" s="81">
        <v>0.22</v>
      </c>
      <c r="L105" s="80">
        <v>0.245</v>
      </c>
    </row>
    <row r="106" spans="1:12" hidden="1" outlineLevel="1" x14ac:dyDescent="0.2">
      <c r="B106" s="52" t="s">
        <v>21</v>
      </c>
      <c r="C106" s="52" t="s">
        <v>139</v>
      </c>
      <c r="D106" s="52" t="s">
        <v>140</v>
      </c>
      <c r="E106" s="79" t="s">
        <v>106</v>
      </c>
      <c r="F106" s="83"/>
      <c r="G106" s="83"/>
      <c r="H106" s="83"/>
      <c r="I106" s="83">
        <v>4.4999999999999998E-2</v>
      </c>
      <c r="J106" s="83"/>
      <c r="K106" s="81">
        <v>0.06</v>
      </c>
      <c r="L106" s="80">
        <v>6.5000000000000002E-2</v>
      </c>
    </row>
    <row r="107" spans="1:12" hidden="1" outlineLevel="1" x14ac:dyDescent="0.2">
      <c r="B107" s="52" t="s">
        <v>21</v>
      </c>
      <c r="C107" s="52" t="s">
        <v>139</v>
      </c>
      <c r="D107" s="52" t="s">
        <v>140</v>
      </c>
      <c r="E107" s="79" t="s">
        <v>107</v>
      </c>
      <c r="F107" s="83"/>
      <c r="G107" s="83"/>
      <c r="H107" s="83"/>
      <c r="I107" s="83">
        <v>3.5000000000000003E-2</v>
      </c>
      <c r="J107" s="83"/>
      <c r="K107" s="81">
        <v>0.05</v>
      </c>
      <c r="L107" s="80">
        <v>0.06</v>
      </c>
    </row>
    <row r="108" spans="1:12" hidden="1" outlineLevel="1" x14ac:dyDescent="0.2">
      <c r="B108" s="52" t="s">
        <v>21</v>
      </c>
      <c r="C108" s="52" t="s">
        <v>139</v>
      </c>
      <c r="D108" s="52" t="s">
        <v>140</v>
      </c>
      <c r="E108" s="79" t="s">
        <v>108</v>
      </c>
      <c r="F108" s="83"/>
      <c r="G108" s="83"/>
      <c r="H108" s="83"/>
      <c r="I108" s="83">
        <v>0.05</v>
      </c>
      <c r="J108" s="83"/>
      <c r="K108" s="81">
        <v>6.5000000000000002E-2</v>
      </c>
      <c r="L108" s="80">
        <v>7.4999999999999997E-2</v>
      </c>
    </row>
    <row r="109" spans="1:12" hidden="1" outlineLevel="1" x14ac:dyDescent="0.2">
      <c r="B109" s="52" t="s">
        <v>21</v>
      </c>
      <c r="C109" s="52" t="s">
        <v>139</v>
      </c>
      <c r="D109" s="52" t="s">
        <v>140</v>
      </c>
      <c r="E109" s="79" t="s">
        <v>109</v>
      </c>
      <c r="F109" s="80">
        <v>0.03</v>
      </c>
      <c r="G109" s="81">
        <v>3.5000000000000003E-2</v>
      </c>
      <c r="H109" s="82">
        <v>4.4999999999999998E-2</v>
      </c>
      <c r="I109" s="83">
        <v>4.4999999999999998E-2</v>
      </c>
      <c r="J109" s="82">
        <v>0.05</v>
      </c>
      <c r="K109" s="83"/>
      <c r="L109" s="83"/>
    </row>
    <row r="110" spans="1:12" hidden="1" outlineLevel="1" x14ac:dyDescent="0.2">
      <c r="B110" s="52" t="s">
        <v>21</v>
      </c>
      <c r="C110" s="52" t="s">
        <v>139</v>
      </c>
      <c r="D110" s="52" t="s">
        <v>140</v>
      </c>
      <c r="E110" s="84" t="s">
        <v>110</v>
      </c>
      <c r="F110" s="83"/>
      <c r="G110" s="83"/>
      <c r="H110" s="83"/>
      <c r="I110" s="83">
        <v>0.01</v>
      </c>
      <c r="J110" s="83"/>
      <c r="K110" s="81">
        <v>1.4999999999999999E-2</v>
      </c>
      <c r="L110" s="80">
        <v>0.02</v>
      </c>
    </row>
    <row r="111" spans="1:12" hidden="1" outlineLevel="1" x14ac:dyDescent="0.2">
      <c r="B111" s="52" t="s">
        <v>21</v>
      </c>
      <c r="C111" s="52" t="s">
        <v>139</v>
      </c>
      <c r="D111" s="52" t="s">
        <v>140</v>
      </c>
      <c r="E111" s="84" t="s">
        <v>34</v>
      </c>
      <c r="F111" s="83"/>
      <c r="G111" s="83"/>
      <c r="H111" s="82">
        <v>0.06</v>
      </c>
      <c r="I111" s="83">
        <v>6.5000000000000002E-2</v>
      </c>
      <c r="J111" s="82">
        <v>7.4999999999999997E-2</v>
      </c>
      <c r="K111" s="81">
        <v>0.09</v>
      </c>
      <c r="L111" s="80">
        <v>0.105</v>
      </c>
    </row>
    <row r="112" spans="1:12" hidden="1" outlineLevel="1" x14ac:dyDescent="0.2">
      <c r="B112" s="52" t="s">
        <v>21</v>
      </c>
      <c r="C112" s="52" t="s">
        <v>139</v>
      </c>
      <c r="D112" s="52" t="s">
        <v>140</v>
      </c>
      <c r="E112" s="84" t="s">
        <v>4</v>
      </c>
      <c r="F112" s="85">
        <v>18.5</v>
      </c>
      <c r="G112" s="86">
        <v>20</v>
      </c>
      <c r="H112" s="87">
        <v>21.5</v>
      </c>
      <c r="I112" s="88">
        <v>22</v>
      </c>
      <c r="J112" s="87">
        <v>22.5</v>
      </c>
      <c r="K112" s="86">
        <v>24</v>
      </c>
      <c r="L112" s="85">
        <v>25</v>
      </c>
    </row>
    <row r="113" spans="1:12" hidden="1" outlineLevel="1" x14ac:dyDescent="0.2">
      <c r="B113" s="52" t="s">
        <v>21</v>
      </c>
      <c r="C113" s="52" t="s">
        <v>139</v>
      </c>
      <c r="D113" s="52" t="s">
        <v>140</v>
      </c>
      <c r="E113" s="84" t="s">
        <v>14</v>
      </c>
      <c r="F113" s="85">
        <v>8</v>
      </c>
      <c r="G113" s="86">
        <v>8.5</v>
      </c>
      <c r="H113" s="87">
        <v>9.5</v>
      </c>
      <c r="I113" s="88">
        <v>10</v>
      </c>
      <c r="J113" s="87">
        <v>10</v>
      </c>
      <c r="K113" s="86">
        <v>11</v>
      </c>
      <c r="L113" s="85">
        <v>12</v>
      </c>
    </row>
    <row r="114" spans="1:12" hidden="1" outlineLevel="1" x14ac:dyDescent="0.2">
      <c r="B114" s="52" t="s">
        <v>21</v>
      </c>
      <c r="C114" s="52" t="s">
        <v>139</v>
      </c>
      <c r="D114" s="52" t="s">
        <v>140</v>
      </c>
      <c r="E114" s="84" t="s">
        <v>0</v>
      </c>
      <c r="F114" s="85">
        <v>26</v>
      </c>
      <c r="G114" s="86">
        <v>27</v>
      </c>
      <c r="H114" s="87">
        <v>28.5</v>
      </c>
      <c r="I114" s="88">
        <v>29</v>
      </c>
      <c r="J114" s="87">
        <v>29</v>
      </c>
      <c r="K114" s="86">
        <v>29.5</v>
      </c>
      <c r="L114" s="85">
        <v>30</v>
      </c>
    </row>
    <row r="115" spans="1:12" hidden="1" outlineLevel="1" x14ac:dyDescent="0.2"/>
    <row r="116" spans="1:12" collapsed="1" x14ac:dyDescent="0.2">
      <c r="A116" s="73">
        <v>214</v>
      </c>
      <c r="B116" s="52" t="s">
        <v>21</v>
      </c>
      <c r="C116" s="52" t="s">
        <v>135</v>
      </c>
      <c r="D116" s="52" t="s">
        <v>141</v>
      </c>
      <c r="E116" s="179" t="s">
        <v>220</v>
      </c>
    </row>
    <row r="117" spans="1:12" hidden="1" outlineLevel="1" x14ac:dyDescent="0.2">
      <c r="B117" s="52" t="s">
        <v>21</v>
      </c>
      <c r="C117" s="52" t="s">
        <v>135</v>
      </c>
      <c r="D117" s="52" t="s">
        <v>141</v>
      </c>
      <c r="E117" s="79" t="s">
        <v>103</v>
      </c>
      <c r="F117" s="80">
        <v>0.36</v>
      </c>
      <c r="G117" s="81">
        <v>0.39500000000000002</v>
      </c>
      <c r="H117" s="82">
        <v>0.42499999999999999</v>
      </c>
      <c r="I117" s="83">
        <v>0.44</v>
      </c>
      <c r="J117" s="82">
        <v>0.45500000000000002</v>
      </c>
      <c r="K117" s="81">
        <v>0.49</v>
      </c>
      <c r="L117" s="80">
        <v>0.52</v>
      </c>
    </row>
    <row r="118" spans="1:12" hidden="1" outlineLevel="1" x14ac:dyDescent="0.2">
      <c r="B118" s="52" t="s">
        <v>21</v>
      </c>
      <c r="C118" s="52" t="s">
        <v>135</v>
      </c>
      <c r="D118" s="52" t="s">
        <v>141</v>
      </c>
      <c r="E118" s="79" t="s">
        <v>104</v>
      </c>
      <c r="F118" s="83"/>
      <c r="G118" s="83"/>
      <c r="H118" s="82">
        <v>0.02</v>
      </c>
      <c r="I118" s="83">
        <v>2.5000000000000001E-2</v>
      </c>
      <c r="J118" s="82">
        <v>0.03</v>
      </c>
      <c r="K118" s="81">
        <v>5.5E-2</v>
      </c>
      <c r="L118" s="80">
        <v>0.08</v>
      </c>
    </row>
    <row r="119" spans="1:12" hidden="1" outlineLevel="1" x14ac:dyDescent="0.2">
      <c r="B119" s="52" t="s">
        <v>21</v>
      </c>
      <c r="C119" s="52" t="s">
        <v>135</v>
      </c>
      <c r="D119" s="52" t="s">
        <v>141</v>
      </c>
      <c r="E119" s="79" t="s">
        <v>105</v>
      </c>
      <c r="F119" s="83"/>
      <c r="G119" s="83"/>
      <c r="H119" s="82">
        <v>0.14000000000000001</v>
      </c>
      <c r="I119" s="83">
        <v>0.15</v>
      </c>
      <c r="J119" s="82">
        <v>0.17</v>
      </c>
      <c r="K119" s="81">
        <v>0.2</v>
      </c>
      <c r="L119" s="80">
        <v>0.23499999999999999</v>
      </c>
    </row>
    <row r="120" spans="1:12" hidden="1" outlineLevel="1" x14ac:dyDescent="0.2">
      <c r="B120" s="52" t="s">
        <v>21</v>
      </c>
      <c r="C120" s="52" t="s">
        <v>135</v>
      </c>
      <c r="D120" s="52" t="s">
        <v>141</v>
      </c>
      <c r="E120" s="79" t="s">
        <v>106</v>
      </c>
      <c r="F120" s="83"/>
      <c r="G120" s="83"/>
      <c r="H120" s="83"/>
      <c r="I120" s="83">
        <v>0.05</v>
      </c>
      <c r="J120" s="83"/>
      <c r="K120" s="81">
        <v>7.0000000000000007E-2</v>
      </c>
      <c r="L120" s="80">
        <v>8.5000000000000006E-2</v>
      </c>
    </row>
    <row r="121" spans="1:12" hidden="1" outlineLevel="1" x14ac:dyDescent="0.2">
      <c r="B121" s="52" t="s">
        <v>21</v>
      </c>
      <c r="C121" s="52" t="s">
        <v>135</v>
      </c>
      <c r="D121" s="52" t="s">
        <v>141</v>
      </c>
      <c r="E121" s="79" t="s">
        <v>107</v>
      </c>
      <c r="F121" s="83"/>
      <c r="G121" s="83"/>
      <c r="H121" s="83"/>
      <c r="I121" s="83">
        <v>3.5000000000000003E-2</v>
      </c>
      <c r="J121" s="83"/>
      <c r="K121" s="81">
        <v>0.05</v>
      </c>
      <c r="L121" s="80">
        <v>6.5000000000000002E-2</v>
      </c>
    </row>
    <row r="122" spans="1:12" hidden="1" outlineLevel="1" x14ac:dyDescent="0.2">
      <c r="B122" s="52" t="s">
        <v>21</v>
      </c>
      <c r="C122" s="52" t="s">
        <v>135</v>
      </c>
      <c r="D122" s="52" t="s">
        <v>141</v>
      </c>
      <c r="E122" s="79" t="s">
        <v>108</v>
      </c>
      <c r="F122" s="83"/>
      <c r="G122" s="83"/>
      <c r="H122" s="83"/>
      <c r="I122" s="83">
        <v>5.5E-2</v>
      </c>
      <c r="J122" s="83"/>
      <c r="K122" s="81">
        <v>7.0000000000000007E-2</v>
      </c>
      <c r="L122" s="80">
        <v>8.5000000000000006E-2</v>
      </c>
    </row>
    <row r="123" spans="1:12" hidden="1" outlineLevel="1" x14ac:dyDescent="0.2">
      <c r="B123" s="52" t="s">
        <v>21</v>
      </c>
      <c r="C123" s="52" t="s">
        <v>135</v>
      </c>
      <c r="D123" s="52" t="s">
        <v>141</v>
      </c>
      <c r="E123" s="79" t="s">
        <v>109</v>
      </c>
      <c r="F123" s="80">
        <v>0.03</v>
      </c>
      <c r="G123" s="81">
        <v>0.04</v>
      </c>
      <c r="H123" s="82">
        <v>4.4999999999999998E-2</v>
      </c>
      <c r="I123" s="83">
        <v>5.5E-2</v>
      </c>
      <c r="J123" s="82">
        <v>0.06</v>
      </c>
      <c r="K123" s="83"/>
      <c r="L123" s="83"/>
    </row>
    <row r="124" spans="1:12" hidden="1" outlineLevel="1" x14ac:dyDescent="0.2">
      <c r="B124" s="52" t="s">
        <v>21</v>
      </c>
      <c r="C124" s="52" t="s">
        <v>135</v>
      </c>
      <c r="D124" s="52" t="s">
        <v>141</v>
      </c>
      <c r="E124" s="84" t="s">
        <v>110</v>
      </c>
      <c r="F124" s="83"/>
      <c r="G124" s="83"/>
      <c r="H124" s="83"/>
      <c r="I124" s="83">
        <v>0.01</v>
      </c>
      <c r="J124" s="83"/>
      <c r="K124" s="81">
        <v>1.4999999999999999E-2</v>
      </c>
      <c r="L124" s="80">
        <v>0.02</v>
      </c>
    </row>
    <row r="125" spans="1:12" hidden="1" outlineLevel="1" x14ac:dyDescent="0.2">
      <c r="B125" s="52" t="s">
        <v>21</v>
      </c>
      <c r="C125" s="52" t="s">
        <v>135</v>
      </c>
      <c r="D125" s="52" t="s">
        <v>141</v>
      </c>
      <c r="E125" s="79" t="s">
        <v>34</v>
      </c>
      <c r="F125" s="83"/>
      <c r="G125" s="83"/>
      <c r="H125" s="82">
        <v>0.105</v>
      </c>
      <c r="I125" s="83">
        <v>0.12</v>
      </c>
      <c r="J125" s="82">
        <v>0.13500000000000001</v>
      </c>
      <c r="K125" s="81">
        <v>0.17</v>
      </c>
      <c r="L125" s="80">
        <v>0.2</v>
      </c>
    </row>
    <row r="126" spans="1:12" hidden="1" outlineLevel="1" x14ac:dyDescent="0.2">
      <c r="B126" s="52" t="s">
        <v>21</v>
      </c>
      <c r="C126" s="52" t="s">
        <v>135</v>
      </c>
      <c r="D126" s="52" t="s">
        <v>141</v>
      </c>
      <c r="E126" s="79" t="s">
        <v>4</v>
      </c>
      <c r="F126" s="85">
        <v>11</v>
      </c>
      <c r="G126" s="86">
        <v>13</v>
      </c>
      <c r="H126" s="87">
        <v>15.5</v>
      </c>
      <c r="I126" s="88">
        <v>16</v>
      </c>
      <c r="J126" s="87">
        <v>17</v>
      </c>
      <c r="K126" s="86">
        <v>19</v>
      </c>
      <c r="L126" s="85">
        <v>20</v>
      </c>
    </row>
    <row r="127" spans="1:12" hidden="1" outlineLevel="1" x14ac:dyDescent="0.2">
      <c r="B127" s="52" t="s">
        <v>21</v>
      </c>
      <c r="C127" s="52" t="s">
        <v>135</v>
      </c>
      <c r="D127" s="52" t="s">
        <v>141</v>
      </c>
      <c r="E127" s="79" t="s">
        <v>14</v>
      </c>
      <c r="F127" s="85">
        <v>5</v>
      </c>
      <c r="G127" s="86">
        <v>5.5</v>
      </c>
      <c r="H127" s="87">
        <v>6.5</v>
      </c>
      <c r="I127" s="88">
        <v>7</v>
      </c>
      <c r="J127" s="87">
        <v>7.5</v>
      </c>
      <c r="K127" s="86">
        <v>8.5</v>
      </c>
      <c r="L127" s="85">
        <v>9</v>
      </c>
    </row>
    <row r="128" spans="1:12" hidden="1" outlineLevel="1" x14ac:dyDescent="0.2">
      <c r="B128" s="52" t="s">
        <v>21</v>
      </c>
      <c r="C128" s="52" t="s">
        <v>135</v>
      </c>
      <c r="D128" s="52" t="s">
        <v>141</v>
      </c>
      <c r="E128" s="79" t="s">
        <v>0</v>
      </c>
      <c r="F128" s="85">
        <v>13</v>
      </c>
      <c r="G128" s="86">
        <v>16.5</v>
      </c>
      <c r="H128" s="87">
        <v>19.5</v>
      </c>
      <c r="I128" s="88">
        <v>21</v>
      </c>
      <c r="J128" s="87">
        <v>22.5</v>
      </c>
      <c r="K128" s="86">
        <v>24</v>
      </c>
      <c r="L128" s="85">
        <v>25.5</v>
      </c>
    </row>
    <row r="129" spans="1:12" hidden="1" outlineLevel="1" x14ac:dyDescent="0.2"/>
    <row r="130" spans="1:12" collapsed="1" x14ac:dyDescent="0.2">
      <c r="A130" s="73">
        <v>370</v>
      </c>
      <c r="B130" s="52" t="s">
        <v>21</v>
      </c>
      <c r="C130" s="52" t="s">
        <v>137</v>
      </c>
      <c r="D130" s="52" t="s">
        <v>141</v>
      </c>
      <c r="E130" s="179" t="s">
        <v>219</v>
      </c>
    </row>
    <row r="131" spans="1:12" hidden="1" outlineLevel="1" x14ac:dyDescent="0.2">
      <c r="B131" s="52" t="s">
        <v>21</v>
      </c>
      <c r="C131" s="52" t="s">
        <v>137</v>
      </c>
      <c r="D131" s="52" t="s">
        <v>141</v>
      </c>
      <c r="E131" s="79" t="s">
        <v>103</v>
      </c>
      <c r="F131" s="80">
        <v>0.36499999999999999</v>
      </c>
      <c r="G131" s="81">
        <v>0.39</v>
      </c>
      <c r="H131" s="82">
        <v>0.42</v>
      </c>
      <c r="I131" s="83">
        <v>0.435</v>
      </c>
      <c r="J131" s="82">
        <v>0.45</v>
      </c>
      <c r="K131" s="81">
        <v>0.48</v>
      </c>
      <c r="L131" s="80">
        <v>0.51500000000000001</v>
      </c>
    </row>
    <row r="132" spans="1:12" hidden="1" outlineLevel="1" x14ac:dyDescent="0.2">
      <c r="B132" s="52" t="s">
        <v>21</v>
      </c>
      <c r="C132" s="52" t="s">
        <v>137</v>
      </c>
      <c r="D132" s="52" t="s">
        <v>141</v>
      </c>
      <c r="E132" s="79" t="s">
        <v>104</v>
      </c>
      <c r="F132" s="83"/>
      <c r="G132" s="83"/>
      <c r="H132" s="82">
        <v>0.02</v>
      </c>
      <c r="I132" s="83">
        <v>2.5000000000000001E-2</v>
      </c>
      <c r="J132" s="82">
        <v>3.5000000000000003E-2</v>
      </c>
      <c r="K132" s="81">
        <v>5.5E-2</v>
      </c>
      <c r="L132" s="80">
        <v>7.4999999999999997E-2</v>
      </c>
    </row>
    <row r="133" spans="1:12" hidden="1" outlineLevel="1" x14ac:dyDescent="0.2">
      <c r="B133" s="52" t="s">
        <v>21</v>
      </c>
      <c r="C133" s="52" t="s">
        <v>137</v>
      </c>
      <c r="D133" s="52" t="s">
        <v>141</v>
      </c>
      <c r="E133" s="79" t="s">
        <v>105</v>
      </c>
      <c r="F133" s="83"/>
      <c r="G133" s="83"/>
      <c r="H133" s="82">
        <v>0.16500000000000001</v>
      </c>
      <c r="I133" s="83">
        <v>0.17499999999999999</v>
      </c>
      <c r="J133" s="82">
        <v>0.185</v>
      </c>
      <c r="K133" s="81">
        <v>0.215</v>
      </c>
      <c r="L133" s="80">
        <v>0.23</v>
      </c>
    </row>
    <row r="134" spans="1:12" hidden="1" outlineLevel="1" x14ac:dyDescent="0.2">
      <c r="B134" s="52" t="s">
        <v>21</v>
      </c>
      <c r="C134" s="52" t="s">
        <v>137</v>
      </c>
      <c r="D134" s="52" t="s">
        <v>141</v>
      </c>
      <c r="E134" s="79" t="s">
        <v>106</v>
      </c>
      <c r="F134" s="83"/>
      <c r="G134" s="83"/>
      <c r="H134" s="83"/>
      <c r="I134" s="83">
        <v>4.4999999999999998E-2</v>
      </c>
      <c r="J134" s="83"/>
      <c r="K134" s="81">
        <v>6.5000000000000002E-2</v>
      </c>
      <c r="L134" s="80">
        <v>7.4999999999999997E-2</v>
      </c>
    </row>
    <row r="135" spans="1:12" hidden="1" outlineLevel="1" x14ac:dyDescent="0.2">
      <c r="B135" s="52" t="s">
        <v>21</v>
      </c>
      <c r="C135" s="52" t="s">
        <v>137</v>
      </c>
      <c r="D135" s="52" t="s">
        <v>141</v>
      </c>
      <c r="E135" s="79" t="s">
        <v>107</v>
      </c>
      <c r="F135" s="83"/>
      <c r="G135" s="83"/>
      <c r="H135" s="83"/>
      <c r="I135" s="83">
        <v>3.5000000000000003E-2</v>
      </c>
      <c r="J135" s="83"/>
      <c r="K135" s="81">
        <v>0.05</v>
      </c>
      <c r="L135" s="80">
        <v>6.5000000000000002E-2</v>
      </c>
    </row>
    <row r="136" spans="1:12" hidden="1" outlineLevel="1" x14ac:dyDescent="0.2">
      <c r="B136" s="52" t="s">
        <v>21</v>
      </c>
      <c r="C136" s="52" t="s">
        <v>137</v>
      </c>
      <c r="D136" s="52" t="s">
        <v>141</v>
      </c>
      <c r="E136" s="79" t="s">
        <v>108</v>
      </c>
      <c r="F136" s="83"/>
      <c r="G136" s="83"/>
      <c r="H136" s="83"/>
      <c r="I136" s="83">
        <v>5.5E-2</v>
      </c>
      <c r="J136" s="83"/>
      <c r="K136" s="81">
        <v>7.0000000000000007E-2</v>
      </c>
      <c r="L136" s="80">
        <v>0.08</v>
      </c>
    </row>
    <row r="137" spans="1:12" hidden="1" outlineLevel="1" x14ac:dyDescent="0.2">
      <c r="B137" s="52" t="s">
        <v>21</v>
      </c>
      <c r="C137" s="52" t="s">
        <v>137</v>
      </c>
      <c r="D137" s="52" t="s">
        <v>141</v>
      </c>
      <c r="E137" s="79" t="s">
        <v>109</v>
      </c>
      <c r="F137" s="80">
        <v>2.5000000000000001E-2</v>
      </c>
      <c r="G137" s="81">
        <v>3.5000000000000003E-2</v>
      </c>
      <c r="H137" s="82">
        <v>4.4999999999999998E-2</v>
      </c>
      <c r="I137" s="83">
        <v>0.05</v>
      </c>
      <c r="J137" s="82">
        <v>5.5E-2</v>
      </c>
      <c r="K137" s="83"/>
      <c r="L137" s="83"/>
    </row>
    <row r="138" spans="1:12" hidden="1" outlineLevel="1" x14ac:dyDescent="0.2">
      <c r="B138" s="52" t="s">
        <v>21</v>
      </c>
      <c r="C138" s="52" t="s">
        <v>137</v>
      </c>
      <c r="D138" s="52" t="s">
        <v>141</v>
      </c>
      <c r="E138" s="79" t="s">
        <v>110</v>
      </c>
      <c r="F138" s="83"/>
      <c r="G138" s="83"/>
      <c r="H138" s="83"/>
      <c r="I138" s="83">
        <v>0.01</v>
      </c>
      <c r="J138" s="83"/>
      <c r="K138" s="81">
        <v>1.4999999999999999E-2</v>
      </c>
      <c r="L138" s="80">
        <v>0.02</v>
      </c>
    </row>
    <row r="139" spans="1:12" hidden="1" outlineLevel="1" x14ac:dyDescent="0.2">
      <c r="B139" s="52" t="s">
        <v>21</v>
      </c>
      <c r="C139" s="52" t="s">
        <v>137</v>
      </c>
      <c r="D139" s="52" t="s">
        <v>141</v>
      </c>
      <c r="E139" s="79" t="s">
        <v>34</v>
      </c>
      <c r="F139" s="83"/>
      <c r="G139" s="83"/>
      <c r="H139" s="82">
        <v>9.5000000000000001E-2</v>
      </c>
      <c r="I139" s="83">
        <v>0.105</v>
      </c>
      <c r="J139" s="82">
        <v>0.115</v>
      </c>
      <c r="K139" s="81">
        <v>0.13500000000000001</v>
      </c>
      <c r="L139" s="80">
        <v>0.155</v>
      </c>
    </row>
    <row r="140" spans="1:12" hidden="1" outlineLevel="1" x14ac:dyDescent="0.2">
      <c r="B140" s="52" t="s">
        <v>21</v>
      </c>
      <c r="C140" s="52" t="s">
        <v>137</v>
      </c>
      <c r="D140" s="52" t="s">
        <v>141</v>
      </c>
      <c r="E140" s="79" t="s">
        <v>4</v>
      </c>
      <c r="F140" s="85">
        <v>15</v>
      </c>
      <c r="G140" s="86">
        <v>16</v>
      </c>
      <c r="H140" s="87">
        <v>17.5</v>
      </c>
      <c r="I140" s="88">
        <v>18</v>
      </c>
      <c r="J140" s="87">
        <v>19</v>
      </c>
      <c r="K140" s="86">
        <v>21</v>
      </c>
      <c r="L140" s="85">
        <v>22.5</v>
      </c>
    </row>
    <row r="141" spans="1:12" hidden="1" outlineLevel="1" x14ac:dyDescent="0.2">
      <c r="B141" s="52" t="s">
        <v>21</v>
      </c>
      <c r="C141" s="52" t="s">
        <v>137</v>
      </c>
      <c r="D141" s="52" t="s">
        <v>141</v>
      </c>
      <c r="E141" s="79" t="s">
        <v>14</v>
      </c>
      <c r="F141" s="85">
        <v>6.5</v>
      </c>
      <c r="G141" s="86">
        <v>7</v>
      </c>
      <c r="H141" s="87">
        <v>7.5</v>
      </c>
      <c r="I141" s="88">
        <v>8</v>
      </c>
      <c r="J141" s="87">
        <v>8.5</v>
      </c>
      <c r="K141" s="86">
        <v>9</v>
      </c>
      <c r="L141" s="85">
        <v>10</v>
      </c>
    </row>
    <row r="142" spans="1:12" hidden="1" outlineLevel="1" x14ac:dyDescent="0.2">
      <c r="B142" s="52" t="s">
        <v>21</v>
      </c>
      <c r="C142" s="52" t="s">
        <v>137</v>
      </c>
      <c r="D142" s="52" t="s">
        <v>141</v>
      </c>
      <c r="E142" s="79" t="s">
        <v>0</v>
      </c>
      <c r="F142" s="85">
        <v>19</v>
      </c>
      <c r="G142" s="86">
        <v>20.5</v>
      </c>
      <c r="H142" s="87">
        <v>22.5</v>
      </c>
      <c r="I142" s="88">
        <v>23</v>
      </c>
      <c r="J142" s="87">
        <v>24</v>
      </c>
      <c r="K142" s="86">
        <v>26.5</v>
      </c>
      <c r="L142" s="85">
        <v>28</v>
      </c>
    </row>
    <row r="143" spans="1:12" hidden="1" outlineLevel="1" x14ac:dyDescent="0.2"/>
    <row r="144" spans="1:12" collapsed="1" x14ac:dyDescent="0.2">
      <c r="A144" s="89">
        <v>2197</v>
      </c>
      <c r="B144" s="52" t="s">
        <v>21</v>
      </c>
      <c r="C144" s="52" t="s">
        <v>138</v>
      </c>
      <c r="D144" s="52" t="s">
        <v>141</v>
      </c>
      <c r="E144" s="179" t="s">
        <v>221</v>
      </c>
    </row>
    <row r="145" spans="1:12" hidden="1" outlineLevel="1" x14ac:dyDescent="0.2">
      <c r="B145" s="52" t="s">
        <v>21</v>
      </c>
      <c r="C145" s="52" t="s">
        <v>138</v>
      </c>
      <c r="D145" s="52" t="s">
        <v>141</v>
      </c>
      <c r="E145" s="79" t="s">
        <v>103</v>
      </c>
      <c r="F145" s="80">
        <v>0.36</v>
      </c>
      <c r="G145" s="81">
        <v>0.38500000000000001</v>
      </c>
      <c r="H145" s="82">
        <v>0.41</v>
      </c>
      <c r="I145" s="83">
        <v>0.42499999999999999</v>
      </c>
      <c r="J145" s="82">
        <v>0.435</v>
      </c>
      <c r="K145" s="81">
        <v>0.46500000000000002</v>
      </c>
      <c r="L145" s="80">
        <v>0.49</v>
      </c>
    </row>
    <row r="146" spans="1:12" hidden="1" outlineLevel="1" x14ac:dyDescent="0.2">
      <c r="B146" s="52" t="s">
        <v>21</v>
      </c>
      <c r="C146" s="52" t="s">
        <v>138</v>
      </c>
      <c r="D146" s="52" t="s">
        <v>141</v>
      </c>
      <c r="E146" s="79" t="s">
        <v>104</v>
      </c>
      <c r="F146" s="83"/>
      <c r="G146" s="83"/>
      <c r="H146" s="82">
        <v>0.02</v>
      </c>
      <c r="I146" s="83">
        <v>2.5000000000000001E-2</v>
      </c>
      <c r="J146" s="82">
        <v>0.03</v>
      </c>
      <c r="K146" s="81">
        <v>4.4999999999999998E-2</v>
      </c>
      <c r="L146" s="80">
        <v>6.5000000000000002E-2</v>
      </c>
    </row>
    <row r="147" spans="1:12" hidden="1" outlineLevel="1" x14ac:dyDescent="0.2">
      <c r="B147" s="52" t="s">
        <v>21</v>
      </c>
      <c r="C147" s="52" t="s">
        <v>138</v>
      </c>
      <c r="D147" s="52" t="s">
        <v>141</v>
      </c>
      <c r="E147" s="79" t="s">
        <v>105</v>
      </c>
      <c r="F147" s="83"/>
      <c r="G147" s="83"/>
      <c r="H147" s="82">
        <v>0.185</v>
      </c>
      <c r="I147" s="83">
        <v>0.2</v>
      </c>
      <c r="J147" s="82">
        <v>0.21</v>
      </c>
      <c r="K147" s="81">
        <v>0.23499999999999999</v>
      </c>
      <c r="L147" s="80">
        <v>0.26</v>
      </c>
    </row>
    <row r="148" spans="1:12" hidden="1" outlineLevel="1" x14ac:dyDescent="0.2">
      <c r="B148" s="52" t="s">
        <v>21</v>
      </c>
      <c r="C148" s="52" t="s">
        <v>138</v>
      </c>
      <c r="D148" s="52" t="s">
        <v>141</v>
      </c>
      <c r="E148" s="79" t="s">
        <v>106</v>
      </c>
      <c r="F148" s="83"/>
      <c r="G148" s="83"/>
      <c r="H148" s="83"/>
      <c r="I148" s="83">
        <v>4.4999999999999998E-2</v>
      </c>
      <c r="J148" s="83"/>
      <c r="K148" s="81">
        <v>0.06</v>
      </c>
      <c r="L148" s="80">
        <v>7.4999999999999997E-2</v>
      </c>
    </row>
    <row r="149" spans="1:12" hidden="1" outlineLevel="1" x14ac:dyDescent="0.2">
      <c r="B149" s="52" t="s">
        <v>21</v>
      </c>
      <c r="C149" s="52" t="s">
        <v>138</v>
      </c>
      <c r="D149" s="52" t="s">
        <v>141</v>
      </c>
      <c r="E149" s="79" t="s">
        <v>107</v>
      </c>
      <c r="F149" s="83"/>
      <c r="G149" s="83"/>
      <c r="H149" s="83"/>
      <c r="I149" s="83">
        <v>3.5000000000000003E-2</v>
      </c>
      <c r="J149" s="83"/>
      <c r="K149" s="81">
        <v>0.05</v>
      </c>
      <c r="L149" s="80">
        <v>0.06</v>
      </c>
    </row>
    <row r="150" spans="1:12" hidden="1" outlineLevel="1" x14ac:dyDescent="0.2">
      <c r="B150" s="52" t="s">
        <v>21</v>
      </c>
      <c r="C150" s="52" t="s">
        <v>138</v>
      </c>
      <c r="D150" s="52" t="s">
        <v>141</v>
      </c>
      <c r="E150" s="79" t="s">
        <v>108</v>
      </c>
      <c r="F150" s="83"/>
      <c r="G150" s="83"/>
      <c r="H150" s="83"/>
      <c r="I150" s="83">
        <v>5.5E-2</v>
      </c>
      <c r="J150" s="83"/>
      <c r="K150" s="81">
        <v>7.0000000000000007E-2</v>
      </c>
      <c r="L150" s="80">
        <v>0.08</v>
      </c>
    </row>
    <row r="151" spans="1:12" hidden="1" outlineLevel="1" x14ac:dyDescent="0.2">
      <c r="B151" s="52" t="s">
        <v>21</v>
      </c>
      <c r="C151" s="52" t="s">
        <v>138</v>
      </c>
      <c r="D151" s="52" t="s">
        <v>141</v>
      </c>
      <c r="E151" s="79" t="s">
        <v>109</v>
      </c>
      <c r="F151" s="80">
        <v>2.5000000000000001E-2</v>
      </c>
      <c r="G151" s="81">
        <v>3.5000000000000003E-2</v>
      </c>
      <c r="H151" s="82">
        <v>0.04</v>
      </c>
      <c r="I151" s="83">
        <v>4.4999999999999998E-2</v>
      </c>
      <c r="J151" s="82">
        <v>0.05</v>
      </c>
      <c r="K151" s="83"/>
      <c r="L151" s="83"/>
    </row>
    <row r="152" spans="1:12" hidden="1" outlineLevel="1" x14ac:dyDescent="0.2">
      <c r="B152" s="52" t="s">
        <v>21</v>
      </c>
      <c r="C152" s="52" t="s">
        <v>138</v>
      </c>
      <c r="D152" s="52" t="s">
        <v>141</v>
      </c>
      <c r="E152" s="79" t="s">
        <v>110</v>
      </c>
      <c r="F152" s="83"/>
      <c r="G152" s="83"/>
      <c r="H152" s="83"/>
      <c r="I152" s="83">
        <v>0.01</v>
      </c>
      <c r="J152" s="83"/>
      <c r="K152" s="81">
        <v>1.4999999999999999E-2</v>
      </c>
      <c r="L152" s="80">
        <v>0.02</v>
      </c>
    </row>
    <row r="153" spans="1:12" hidden="1" outlineLevel="1" x14ac:dyDescent="0.2">
      <c r="B153" s="52" t="s">
        <v>21</v>
      </c>
      <c r="C153" s="52" t="s">
        <v>138</v>
      </c>
      <c r="D153" s="52" t="s">
        <v>141</v>
      </c>
      <c r="E153" s="79" t="s">
        <v>34</v>
      </c>
      <c r="F153" s="83"/>
      <c r="G153" s="83"/>
      <c r="H153" s="82">
        <v>7.4999999999999997E-2</v>
      </c>
      <c r="I153" s="83">
        <v>0.08</v>
      </c>
      <c r="J153" s="82">
        <v>0.09</v>
      </c>
      <c r="K153" s="81">
        <v>0.11</v>
      </c>
      <c r="L153" s="80">
        <v>0.13</v>
      </c>
    </row>
    <row r="154" spans="1:12" hidden="1" outlineLevel="1" x14ac:dyDescent="0.2">
      <c r="B154" s="52" t="s">
        <v>21</v>
      </c>
      <c r="C154" s="52" t="s">
        <v>138</v>
      </c>
      <c r="D154" s="52" t="s">
        <v>141</v>
      </c>
      <c r="E154" s="79" t="s">
        <v>4</v>
      </c>
      <c r="F154" s="85">
        <v>16</v>
      </c>
      <c r="G154" s="86">
        <v>17.5</v>
      </c>
      <c r="H154" s="87">
        <v>19</v>
      </c>
      <c r="I154" s="88">
        <v>19.5</v>
      </c>
      <c r="J154" s="87">
        <v>20.5</v>
      </c>
      <c r="K154" s="86">
        <v>22.5</v>
      </c>
      <c r="L154" s="85">
        <v>24</v>
      </c>
    </row>
    <row r="155" spans="1:12" hidden="1" outlineLevel="1" x14ac:dyDescent="0.2">
      <c r="B155" s="52" t="s">
        <v>21</v>
      </c>
      <c r="C155" s="52" t="s">
        <v>138</v>
      </c>
      <c r="D155" s="52" t="s">
        <v>141</v>
      </c>
      <c r="E155" s="79" t="s">
        <v>14</v>
      </c>
      <c r="F155" s="85">
        <v>6.5</v>
      </c>
      <c r="G155" s="86">
        <v>7.5</v>
      </c>
      <c r="H155" s="87">
        <v>8</v>
      </c>
      <c r="I155" s="88">
        <v>8.5</v>
      </c>
      <c r="J155" s="87">
        <v>8.5</v>
      </c>
      <c r="K155" s="86">
        <v>9.5</v>
      </c>
      <c r="L155" s="85">
        <v>10</v>
      </c>
    </row>
    <row r="156" spans="1:12" hidden="1" outlineLevel="1" x14ac:dyDescent="0.2">
      <c r="B156" s="52" t="s">
        <v>21</v>
      </c>
      <c r="C156" s="52" t="s">
        <v>138</v>
      </c>
      <c r="D156" s="52" t="s">
        <v>141</v>
      </c>
      <c r="E156" s="79" t="s">
        <v>0</v>
      </c>
      <c r="F156" s="85">
        <v>22.5</v>
      </c>
      <c r="G156" s="86">
        <v>23.5</v>
      </c>
      <c r="H156" s="87">
        <v>25.5</v>
      </c>
      <c r="I156" s="88">
        <v>26.5</v>
      </c>
      <c r="J156" s="87">
        <v>27</v>
      </c>
      <c r="K156" s="86">
        <v>28.5</v>
      </c>
      <c r="L156" s="85">
        <v>29.5</v>
      </c>
    </row>
    <row r="157" spans="1:12" hidden="1" outlineLevel="1" x14ac:dyDescent="0.2"/>
    <row r="158" spans="1:12" collapsed="1" x14ac:dyDescent="0.2">
      <c r="A158" s="89">
        <v>1120</v>
      </c>
      <c r="B158" s="52" t="s">
        <v>21</v>
      </c>
      <c r="C158" s="52" t="s">
        <v>139</v>
      </c>
      <c r="D158" s="52" t="s">
        <v>141</v>
      </c>
      <c r="E158" s="179" t="s">
        <v>222</v>
      </c>
    </row>
    <row r="159" spans="1:12" hidden="1" outlineLevel="1" x14ac:dyDescent="0.2">
      <c r="B159" s="52" t="s">
        <v>21</v>
      </c>
      <c r="C159" s="52" t="s">
        <v>139</v>
      </c>
      <c r="D159" s="52" t="s">
        <v>141</v>
      </c>
      <c r="E159" s="79" t="s">
        <v>103</v>
      </c>
      <c r="F159" s="80">
        <v>0.35499999999999998</v>
      </c>
      <c r="G159" s="81">
        <v>0.38</v>
      </c>
      <c r="H159" s="82">
        <v>0.41</v>
      </c>
      <c r="I159" s="83">
        <v>0.42499999999999999</v>
      </c>
      <c r="J159" s="82">
        <v>0.435</v>
      </c>
      <c r="K159" s="81">
        <v>0.46500000000000002</v>
      </c>
      <c r="L159" s="80">
        <v>0.49</v>
      </c>
    </row>
    <row r="160" spans="1:12" hidden="1" outlineLevel="1" x14ac:dyDescent="0.2">
      <c r="B160" s="52" t="s">
        <v>21</v>
      </c>
      <c r="C160" s="52" t="s">
        <v>139</v>
      </c>
      <c r="D160" s="52" t="s">
        <v>141</v>
      </c>
      <c r="E160" s="79" t="s">
        <v>104</v>
      </c>
      <c r="F160" s="83"/>
      <c r="G160" s="83"/>
      <c r="H160" s="82">
        <v>0.02</v>
      </c>
      <c r="I160" s="83">
        <v>2.5000000000000001E-2</v>
      </c>
      <c r="J160" s="82">
        <v>0.03</v>
      </c>
      <c r="K160" s="81">
        <v>4.4999999999999998E-2</v>
      </c>
      <c r="L160" s="80">
        <v>0.06</v>
      </c>
    </row>
    <row r="161" spans="1:14" hidden="1" outlineLevel="1" x14ac:dyDescent="0.2">
      <c r="B161" s="52" t="s">
        <v>21</v>
      </c>
      <c r="C161" s="52" t="s">
        <v>139</v>
      </c>
      <c r="D161" s="52" t="s">
        <v>141</v>
      </c>
      <c r="E161" s="79" t="s">
        <v>105</v>
      </c>
      <c r="F161" s="83"/>
      <c r="G161" s="83"/>
      <c r="H161" s="82">
        <v>0.19500000000000001</v>
      </c>
      <c r="I161" s="83">
        <v>0.20499999999999999</v>
      </c>
      <c r="J161" s="82">
        <v>0.22</v>
      </c>
      <c r="K161" s="81">
        <v>0.25</v>
      </c>
      <c r="L161" s="80">
        <v>0.26500000000000001</v>
      </c>
    </row>
    <row r="162" spans="1:14" hidden="1" outlineLevel="1" x14ac:dyDescent="0.2">
      <c r="B162" s="52" t="s">
        <v>21</v>
      </c>
      <c r="C162" s="52" t="s">
        <v>139</v>
      </c>
      <c r="D162" s="52" t="s">
        <v>141</v>
      </c>
      <c r="E162" s="79" t="s">
        <v>106</v>
      </c>
      <c r="F162" s="83"/>
      <c r="G162" s="83"/>
      <c r="H162" s="83"/>
      <c r="I162" s="83">
        <v>4.4999999999999998E-2</v>
      </c>
      <c r="J162" s="83"/>
      <c r="K162" s="81">
        <v>0.06</v>
      </c>
      <c r="L162" s="80">
        <v>7.4999999999999997E-2</v>
      </c>
    </row>
    <row r="163" spans="1:14" hidden="1" outlineLevel="1" x14ac:dyDescent="0.2">
      <c r="B163" s="52" t="s">
        <v>21</v>
      </c>
      <c r="C163" s="52" t="s">
        <v>139</v>
      </c>
      <c r="D163" s="52" t="s">
        <v>141</v>
      </c>
      <c r="E163" s="79" t="s">
        <v>107</v>
      </c>
      <c r="F163" s="83"/>
      <c r="G163" s="83"/>
      <c r="H163" s="83"/>
      <c r="I163" s="83">
        <v>3.5000000000000003E-2</v>
      </c>
      <c r="J163" s="83"/>
      <c r="K163" s="81">
        <v>4.4999999999999998E-2</v>
      </c>
      <c r="L163" s="80">
        <v>0.06</v>
      </c>
    </row>
    <row r="164" spans="1:14" hidden="1" outlineLevel="1" x14ac:dyDescent="0.2">
      <c r="B164" s="52" t="s">
        <v>21</v>
      </c>
      <c r="C164" s="52" t="s">
        <v>139</v>
      </c>
      <c r="D164" s="52" t="s">
        <v>141</v>
      </c>
      <c r="E164" s="79" t="s">
        <v>108</v>
      </c>
      <c r="F164" s="83"/>
      <c r="G164" s="83"/>
      <c r="H164" s="83"/>
      <c r="I164" s="83">
        <v>0.05</v>
      </c>
      <c r="J164" s="83"/>
      <c r="K164" s="81">
        <v>7.0000000000000007E-2</v>
      </c>
      <c r="L164" s="80">
        <v>0.08</v>
      </c>
    </row>
    <row r="165" spans="1:14" hidden="1" outlineLevel="1" x14ac:dyDescent="0.2">
      <c r="B165" s="52" t="s">
        <v>21</v>
      </c>
      <c r="C165" s="52" t="s">
        <v>139</v>
      </c>
      <c r="D165" s="52" t="s">
        <v>141</v>
      </c>
      <c r="E165" s="79" t="s">
        <v>109</v>
      </c>
      <c r="F165" s="80">
        <v>2.5000000000000001E-2</v>
      </c>
      <c r="G165" s="81">
        <v>0.03</v>
      </c>
      <c r="H165" s="82">
        <v>0.04</v>
      </c>
      <c r="I165" s="83">
        <v>4.4999999999999998E-2</v>
      </c>
      <c r="J165" s="82">
        <v>0.05</v>
      </c>
      <c r="K165" s="83"/>
      <c r="L165" s="83"/>
    </row>
    <row r="166" spans="1:14" hidden="1" outlineLevel="1" x14ac:dyDescent="0.2">
      <c r="B166" s="52" t="s">
        <v>21</v>
      </c>
      <c r="C166" s="52" t="s">
        <v>139</v>
      </c>
      <c r="D166" s="52" t="s">
        <v>141</v>
      </c>
      <c r="E166" s="84" t="s">
        <v>110</v>
      </c>
      <c r="F166" s="83"/>
      <c r="G166" s="83"/>
      <c r="H166" s="83"/>
      <c r="I166" s="83">
        <v>0.01</v>
      </c>
      <c r="J166" s="83"/>
      <c r="K166" s="81">
        <v>1.4999999999999999E-2</v>
      </c>
      <c r="L166" s="80">
        <v>0.02</v>
      </c>
    </row>
    <row r="167" spans="1:14" hidden="1" outlineLevel="1" x14ac:dyDescent="0.2">
      <c r="B167" s="52" t="s">
        <v>21</v>
      </c>
      <c r="C167" s="52" t="s">
        <v>139</v>
      </c>
      <c r="D167" s="52" t="s">
        <v>141</v>
      </c>
      <c r="E167" s="79" t="s">
        <v>34</v>
      </c>
      <c r="F167" s="83"/>
      <c r="G167" s="83"/>
      <c r="H167" s="82">
        <v>6.5000000000000002E-2</v>
      </c>
      <c r="I167" s="83">
        <v>7.0000000000000007E-2</v>
      </c>
      <c r="J167" s="82">
        <v>7.4999999999999997E-2</v>
      </c>
      <c r="K167" s="81">
        <v>0.09</v>
      </c>
      <c r="L167" s="80">
        <v>0.105</v>
      </c>
    </row>
    <row r="168" spans="1:14" hidden="1" outlineLevel="1" x14ac:dyDescent="0.2">
      <c r="B168" s="52" t="s">
        <v>21</v>
      </c>
      <c r="C168" s="52" t="s">
        <v>139</v>
      </c>
      <c r="D168" s="52" t="s">
        <v>141</v>
      </c>
      <c r="E168" s="79" t="s">
        <v>4</v>
      </c>
      <c r="F168" s="85">
        <v>17</v>
      </c>
      <c r="G168" s="86">
        <v>18</v>
      </c>
      <c r="H168" s="87">
        <v>20</v>
      </c>
      <c r="I168" s="88">
        <v>20.5</v>
      </c>
      <c r="J168" s="87">
        <v>21</v>
      </c>
      <c r="K168" s="86">
        <v>23</v>
      </c>
      <c r="L168" s="85">
        <v>24.5</v>
      </c>
    </row>
    <row r="169" spans="1:14" hidden="1" outlineLevel="1" x14ac:dyDescent="0.2">
      <c r="B169" s="52" t="s">
        <v>21</v>
      </c>
      <c r="C169" s="52" t="s">
        <v>139</v>
      </c>
      <c r="D169" s="52" t="s">
        <v>141</v>
      </c>
      <c r="E169" s="79" t="s">
        <v>14</v>
      </c>
      <c r="F169" s="85">
        <v>7</v>
      </c>
      <c r="G169" s="86">
        <v>7.5</v>
      </c>
      <c r="H169" s="87">
        <v>8</v>
      </c>
      <c r="I169" s="88">
        <v>8.5</v>
      </c>
      <c r="J169" s="87">
        <v>9</v>
      </c>
      <c r="K169" s="86">
        <v>9.5</v>
      </c>
      <c r="L169" s="85">
        <v>10.5</v>
      </c>
    </row>
    <row r="170" spans="1:14" hidden="1" outlineLevel="1" x14ac:dyDescent="0.2">
      <c r="B170" s="52" t="s">
        <v>21</v>
      </c>
      <c r="C170" s="52" t="s">
        <v>139</v>
      </c>
      <c r="D170" s="52" t="s">
        <v>141</v>
      </c>
      <c r="E170" s="84" t="s">
        <v>0</v>
      </c>
      <c r="F170" s="85">
        <v>24.5</v>
      </c>
      <c r="G170" s="86">
        <v>25.5</v>
      </c>
      <c r="H170" s="87">
        <v>27</v>
      </c>
      <c r="I170" s="88">
        <v>27.5</v>
      </c>
      <c r="J170" s="87">
        <v>28</v>
      </c>
      <c r="K170" s="86">
        <v>29</v>
      </c>
      <c r="L170" s="85">
        <v>29.5</v>
      </c>
    </row>
    <row r="171" spans="1:14" hidden="1" outlineLevel="1" x14ac:dyDescent="0.2"/>
    <row r="172" spans="1:14" collapsed="1" x14ac:dyDescent="0.2"/>
    <row r="173" spans="1:14" s="77" customFormat="1" ht="51.4" customHeight="1" x14ac:dyDescent="0.25">
      <c r="A173" s="76" t="s">
        <v>145</v>
      </c>
      <c r="B173" s="76" t="s">
        <v>16</v>
      </c>
      <c r="C173" s="76" t="s">
        <v>128</v>
      </c>
      <c r="D173" s="76" t="s">
        <v>20</v>
      </c>
      <c r="F173" s="78" t="s">
        <v>148</v>
      </c>
      <c r="G173" s="78" t="s">
        <v>149</v>
      </c>
      <c r="H173" s="78" t="s">
        <v>150</v>
      </c>
      <c r="I173" s="78" t="s">
        <v>155</v>
      </c>
      <c r="J173" s="78" t="s">
        <v>154</v>
      </c>
      <c r="K173" s="78" t="s">
        <v>151</v>
      </c>
      <c r="L173" s="78" t="s">
        <v>152</v>
      </c>
      <c r="N173" s="77" t="s">
        <v>153</v>
      </c>
    </row>
    <row r="174" spans="1:14" x14ac:dyDescent="0.2">
      <c r="A174" s="90">
        <v>59</v>
      </c>
      <c r="B174" s="52" t="s">
        <v>130</v>
      </c>
      <c r="C174" s="52" t="s">
        <v>137</v>
      </c>
      <c r="D174" s="52" t="s">
        <v>136</v>
      </c>
      <c r="E174" s="179" t="s">
        <v>223</v>
      </c>
    </row>
    <row r="175" spans="1:14" hidden="1" outlineLevel="1" x14ac:dyDescent="0.2">
      <c r="A175" s="90"/>
      <c r="B175" s="52" t="s">
        <v>130</v>
      </c>
      <c r="C175" s="52" t="s">
        <v>137</v>
      </c>
      <c r="D175" s="52" t="s">
        <v>136</v>
      </c>
      <c r="E175" s="79" t="s">
        <v>103</v>
      </c>
      <c r="F175" s="80">
        <v>0.45500000000000002</v>
      </c>
      <c r="G175" s="81">
        <v>0.49</v>
      </c>
      <c r="H175" s="82">
        <v>0.54</v>
      </c>
      <c r="I175" s="83">
        <v>0.56000000000000005</v>
      </c>
      <c r="J175" s="82">
        <v>0.56999999999999995</v>
      </c>
      <c r="K175" s="81">
        <v>0.61</v>
      </c>
      <c r="L175" s="80">
        <v>0.625</v>
      </c>
    </row>
    <row r="176" spans="1:14" hidden="1" outlineLevel="1" x14ac:dyDescent="0.2">
      <c r="A176" s="90"/>
      <c r="B176" s="52" t="s">
        <v>130</v>
      </c>
      <c r="C176" s="52" t="s">
        <v>137</v>
      </c>
      <c r="D176" s="52" t="s">
        <v>136</v>
      </c>
      <c r="E176" s="79" t="s">
        <v>104</v>
      </c>
      <c r="F176" s="83"/>
      <c r="G176" s="83"/>
      <c r="H176" s="82">
        <v>0.01</v>
      </c>
      <c r="I176" s="83">
        <v>1.4999999999999999E-2</v>
      </c>
      <c r="J176" s="82">
        <v>0.02</v>
      </c>
      <c r="K176" s="81">
        <v>0.03</v>
      </c>
      <c r="L176" s="80">
        <v>0.04</v>
      </c>
    </row>
    <row r="177" spans="1:12" hidden="1" outlineLevel="1" x14ac:dyDescent="0.2">
      <c r="A177" s="90"/>
      <c r="B177" s="52" t="s">
        <v>130</v>
      </c>
      <c r="C177" s="52" t="s">
        <v>137</v>
      </c>
      <c r="D177" s="52" t="s">
        <v>136</v>
      </c>
      <c r="E177" s="79" t="s">
        <v>105</v>
      </c>
      <c r="F177" s="83"/>
      <c r="G177" s="83"/>
      <c r="H177" s="82">
        <v>0.05</v>
      </c>
      <c r="I177" s="83">
        <v>0.06</v>
      </c>
      <c r="J177" s="82">
        <v>7.0000000000000007E-2</v>
      </c>
      <c r="K177" s="81">
        <v>0.09</v>
      </c>
      <c r="L177" s="80">
        <v>0.11</v>
      </c>
    </row>
    <row r="178" spans="1:12" hidden="1" outlineLevel="1" x14ac:dyDescent="0.2">
      <c r="A178" s="90"/>
      <c r="B178" s="52" t="s">
        <v>130</v>
      </c>
      <c r="C178" s="52" t="s">
        <v>137</v>
      </c>
      <c r="D178" s="52" t="s">
        <v>136</v>
      </c>
      <c r="E178" s="79" t="s">
        <v>106</v>
      </c>
      <c r="F178" s="83"/>
      <c r="G178" s="83"/>
      <c r="H178" s="83"/>
      <c r="I178" s="83">
        <v>6.5000000000000002E-2</v>
      </c>
      <c r="J178" s="83"/>
      <c r="K178" s="81">
        <v>0.09</v>
      </c>
      <c r="L178" s="80">
        <v>0.1</v>
      </c>
    </row>
    <row r="179" spans="1:12" hidden="1" outlineLevel="1" x14ac:dyDescent="0.2">
      <c r="A179" s="90"/>
      <c r="B179" s="52" t="s">
        <v>130</v>
      </c>
      <c r="C179" s="52" t="s">
        <v>137</v>
      </c>
      <c r="D179" s="52" t="s">
        <v>136</v>
      </c>
      <c r="E179" s="79" t="s">
        <v>107</v>
      </c>
      <c r="F179" s="83"/>
      <c r="G179" s="83"/>
      <c r="H179" s="83"/>
      <c r="I179" s="83">
        <v>0.01</v>
      </c>
      <c r="J179" s="83"/>
      <c r="K179" s="81">
        <v>4.4999999999999998E-2</v>
      </c>
      <c r="L179" s="80">
        <v>7.0000000000000007E-2</v>
      </c>
    </row>
    <row r="180" spans="1:12" hidden="1" outlineLevel="1" x14ac:dyDescent="0.2">
      <c r="A180" s="90"/>
      <c r="B180" s="52" t="s">
        <v>130</v>
      </c>
      <c r="C180" s="52" t="s">
        <v>137</v>
      </c>
      <c r="D180" s="52" t="s">
        <v>136</v>
      </c>
      <c r="E180" s="79" t="s">
        <v>108</v>
      </c>
      <c r="F180" s="83"/>
      <c r="G180" s="83"/>
      <c r="H180" s="83"/>
      <c r="I180" s="83">
        <v>0.05</v>
      </c>
      <c r="J180" s="83"/>
      <c r="K180" s="81">
        <v>7.4999999999999997E-2</v>
      </c>
      <c r="L180" s="80">
        <v>8.5000000000000006E-2</v>
      </c>
    </row>
    <row r="181" spans="1:12" hidden="1" outlineLevel="1" x14ac:dyDescent="0.2">
      <c r="A181" s="90"/>
      <c r="B181" s="52" t="s">
        <v>130</v>
      </c>
      <c r="C181" s="52" t="s">
        <v>137</v>
      </c>
      <c r="D181" s="52" t="s">
        <v>136</v>
      </c>
      <c r="E181" s="79" t="s">
        <v>109</v>
      </c>
      <c r="F181" s="80">
        <v>0.05</v>
      </c>
      <c r="G181" s="81">
        <v>0.06</v>
      </c>
      <c r="H181" s="82">
        <v>7.0000000000000007E-2</v>
      </c>
      <c r="I181" s="83">
        <v>7.4999999999999997E-2</v>
      </c>
      <c r="J181" s="82">
        <v>8.5000000000000006E-2</v>
      </c>
      <c r="K181" s="83"/>
      <c r="L181" s="83"/>
    </row>
    <row r="182" spans="1:12" hidden="1" outlineLevel="1" x14ac:dyDescent="0.2">
      <c r="A182" s="90"/>
      <c r="B182" s="52" t="s">
        <v>130</v>
      </c>
      <c r="C182" s="52" t="s">
        <v>137</v>
      </c>
      <c r="D182" s="52" t="s">
        <v>136</v>
      </c>
      <c r="E182" s="79" t="s">
        <v>110</v>
      </c>
      <c r="F182" s="83"/>
      <c r="G182" s="83"/>
      <c r="H182" s="83"/>
      <c r="I182" s="83">
        <v>0.01</v>
      </c>
      <c r="J182" s="83"/>
      <c r="K182" s="81">
        <v>1.4999999999999999E-2</v>
      </c>
      <c r="L182" s="80">
        <v>0.02</v>
      </c>
    </row>
    <row r="183" spans="1:12" hidden="1" outlineLevel="1" x14ac:dyDescent="0.2">
      <c r="A183" s="90"/>
      <c r="B183" s="52" t="s">
        <v>130</v>
      </c>
      <c r="C183" s="52" t="s">
        <v>137</v>
      </c>
      <c r="D183" s="52" t="s">
        <v>136</v>
      </c>
      <c r="E183" s="79" t="s">
        <v>34</v>
      </c>
      <c r="F183" s="83"/>
      <c r="G183" s="83"/>
      <c r="H183" s="82">
        <v>0.06</v>
      </c>
      <c r="I183" s="83">
        <v>6.5000000000000002E-2</v>
      </c>
      <c r="J183" s="82">
        <v>7.0000000000000007E-2</v>
      </c>
      <c r="K183" s="81">
        <v>0.09</v>
      </c>
      <c r="L183" s="80">
        <v>0.14000000000000001</v>
      </c>
    </row>
    <row r="184" spans="1:12" hidden="1" outlineLevel="1" x14ac:dyDescent="0.2">
      <c r="A184" s="90"/>
      <c r="B184" s="52" t="s">
        <v>130</v>
      </c>
      <c r="C184" s="52" t="s">
        <v>137</v>
      </c>
      <c r="D184" s="52" t="s">
        <v>136</v>
      </c>
      <c r="E184" s="79" t="s">
        <v>4</v>
      </c>
      <c r="F184" s="85">
        <v>12</v>
      </c>
      <c r="G184" s="86">
        <v>13.5</v>
      </c>
      <c r="H184" s="87">
        <v>15.5</v>
      </c>
      <c r="I184" s="88">
        <v>16</v>
      </c>
      <c r="J184" s="87">
        <v>17</v>
      </c>
      <c r="K184" s="86">
        <v>18</v>
      </c>
      <c r="L184" s="85">
        <v>18.5</v>
      </c>
    </row>
    <row r="185" spans="1:12" hidden="1" outlineLevel="1" x14ac:dyDescent="0.2">
      <c r="A185" s="90"/>
      <c r="B185" s="52" t="s">
        <v>130</v>
      </c>
      <c r="C185" s="52" t="s">
        <v>137</v>
      </c>
      <c r="D185" s="52" t="s">
        <v>136</v>
      </c>
      <c r="E185" s="79" t="s">
        <v>14</v>
      </c>
      <c r="F185" s="85">
        <v>7.5</v>
      </c>
      <c r="G185" s="86">
        <v>8.5</v>
      </c>
      <c r="H185" s="87">
        <v>10</v>
      </c>
      <c r="I185" s="88">
        <v>10</v>
      </c>
      <c r="J185" s="87">
        <v>10.5</v>
      </c>
      <c r="K185" s="86">
        <v>11.5</v>
      </c>
      <c r="L185" s="85">
        <v>12</v>
      </c>
    </row>
    <row r="186" spans="1:12" hidden="1" outlineLevel="1" x14ac:dyDescent="0.2">
      <c r="A186" s="90"/>
      <c r="B186" s="52" t="s">
        <v>130</v>
      </c>
      <c r="C186" s="52" t="s">
        <v>137</v>
      </c>
      <c r="D186" s="52" t="s">
        <v>136</v>
      </c>
      <c r="E186" s="79" t="s">
        <v>0</v>
      </c>
      <c r="F186" s="85">
        <v>14</v>
      </c>
      <c r="G186" s="86">
        <v>18</v>
      </c>
      <c r="H186" s="87">
        <v>19.5</v>
      </c>
      <c r="I186" s="88">
        <v>19.5</v>
      </c>
      <c r="J186" s="87">
        <v>20.5</v>
      </c>
      <c r="K186" s="86">
        <v>22</v>
      </c>
      <c r="L186" s="85">
        <v>23</v>
      </c>
    </row>
    <row r="187" spans="1:12" hidden="1" outlineLevel="1" x14ac:dyDescent="0.2">
      <c r="A187" s="90"/>
    </row>
    <row r="188" spans="1:12" collapsed="1" x14ac:dyDescent="0.2">
      <c r="A188" s="90">
        <v>304</v>
      </c>
      <c r="B188" s="52" t="s">
        <v>130</v>
      </c>
      <c r="C188" s="52" t="s">
        <v>138</v>
      </c>
      <c r="D188" s="52" t="s">
        <v>136</v>
      </c>
      <c r="E188" s="179" t="s">
        <v>224</v>
      </c>
    </row>
    <row r="189" spans="1:12" hidden="1" outlineLevel="1" x14ac:dyDescent="0.2">
      <c r="A189" s="90"/>
      <c r="B189" s="52" t="s">
        <v>130</v>
      </c>
      <c r="C189" s="52" t="s">
        <v>138</v>
      </c>
      <c r="D189" s="52" t="s">
        <v>136</v>
      </c>
      <c r="E189" s="79" t="s">
        <v>103</v>
      </c>
      <c r="F189" s="80">
        <v>0.495</v>
      </c>
      <c r="G189" s="81">
        <v>0.52500000000000002</v>
      </c>
      <c r="H189" s="82">
        <v>0.55500000000000005</v>
      </c>
      <c r="I189" s="83">
        <v>0.56000000000000005</v>
      </c>
      <c r="J189" s="82">
        <v>0.57499999999999996</v>
      </c>
      <c r="K189" s="81">
        <v>0.61</v>
      </c>
      <c r="L189" s="80">
        <v>0.63</v>
      </c>
    </row>
    <row r="190" spans="1:12" hidden="1" outlineLevel="1" x14ac:dyDescent="0.2">
      <c r="A190" s="90"/>
      <c r="B190" s="52" t="s">
        <v>130</v>
      </c>
      <c r="C190" s="52" t="s">
        <v>138</v>
      </c>
      <c r="D190" s="52" t="s">
        <v>136</v>
      </c>
      <c r="E190" s="79" t="s">
        <v>104</v>
      </c>
      <c r="F190" s="83"/>
      <c r="G190" s="83"/>
      <c r="H190" s="82">
        <v>0.01</v>
      </c>
      <c r="I190" s="83">
        <v>0.01</v>
      </c>
      <c r="J190" s="82">
        <v>1.4999999999999999E-2</v>
      </c>
      <c r="K190" s="81">
        <v>0.02</v>
      </c>
      <c r="L190" s="80">
        <v>2.5000000000000001E-2</v>
      </c>
    </row>
    <row r="191" spans="1:12" hidden="1" outlineLevel="1" x14ac:dyDescent="0.2">
      <c r="A191" s="90"/>
      <c r="B191" s="52" t="s">
        <v>130</v>
      </c>
      <c r="C191" s="52" t="s">
        <v>138</v>
      </c>
      <c r="D191" s="52" t="s">
        <v>136</v>
      </c>
      <c r="E191" s="79" t="s">
        <v>105</v>
      </c>
      <c r="F191" s="83"/>
      <c r="G191" s="83"/>
      <c r="H191" s="82">
        <v>7.0000000000000007E-2</v>
      </c>
      <c r="I191" s="83">
        <v>7.4999999999999997E-2</v>
      </c>
      <c r="J191" s="82">
        <v>0.08</v>
      </c>
      <c r="K191" s="81">
        <v>0.1</v>
      </c>
      <c r="L191" s="80">
        <v>0.11</v>
      </c>
    </row>
    <row r="192" spans="1:12" hidden="1" outlineLevel="1" x14ac:dyDescent="0.2">
      <c r="A192" s="90"/>
      <c r="B192" s="52" t="s">
        <v>130</v>
      </c>
      <c r="C192" s="52" t="s">
        <v>138</v>
      </c>
      <c r="D192" s="52" t="s">
        <v>136</v>
      </c>
      <c r="E192" s="79" t="s">
        <v>106</v>
      </c>
      <c r="F192" s="83"/>
      <c r="G192" s="83"/>
      <c r="H192" s="83"/>
      <c r="I192" s="83">
        <v>6.5000000000000002E-2</v>
      </c>
      <c r="J192" s="83"/>
      <c r="K192" s="81">
        <v>8.5000000000000006E-2</v>
      </c>
      <c r="L192" s="80">
        <v>0.1</v>
      </c>
    </row>
    <row r="193" spans="1:12" hidden="1" outlineLevel="1" x14ac:dyDescent="0.2">
      <c r="A193" s="90"/>
      <c r="B193" s="52" t="s">
        <v>130</v>
      </c>
      <c r="C193" s="52" t="s">
        <v>138</v>
      </c>
      <c r="D193" s="52" t="s">
        <v>136</v>
      </c>
      <c r="E193" s="79" t="s">
        <v>107</v>
      </c>
      <c r="F193" s="83"/>
      <c r="G193" s="83"/>
      <c r="H193" s="83"/>
      <c r="I193" s="83">
        <v>1.4999999999999999E-2</v>
      </c>
      <c r="J193" s="83"/>
      <c r="K193" s="81">
        <v>0.03</v>
      </c>
      <c r="L193" s="80">
        <v>5.5E-2</v>
      </c>
    </row>
    <row r="194" spans="1:12" hidden="1" outlineLevel="1" x14ac:dyDescent="0.2">
      <c r="A194" s="90"/>
      <c r="B194" s="52" t="s">
        <v>130</v>
      </c>
      <c r="C194" s="52" t="s">
        <v>138</v>
      </c>
      <c r="D194" s="52" t="s">
        <v>136</v>
      </c>
      <c r="E194" s="79" t="s">
        <v>108</v>
      </c>
      <c r="F194" s="83"/>
      <c r="G194" s="83"/>
      <c r="H194" s="83"/>
      <c r="I194" s="83">
        <v>5.5E-2</v>
      </c>
      <c r="J194" s="83"/>
      <c r="K194" s="81">
        <v>7.0000000000000007E-2</v>
      </c>
      <c r="L194" s="80">
        <v>0.08</v>
      </c>
    </row>
    <row r="195" spans="1:12" hidden="1" outlineLevel="1" x14ac:dyDescent="0.2">
      <c r="A195" s="90"/>
      <c r="B195" s="52" t="s">
        <v>130</v>
      </c>
      <c r="C195" s="52" t="s">
        <v>138</v>
      </c>
      <c r="D195" s="52" t="s">
        <v>136</v>
      </c>
      <c r="E195" s="79" t="s">
        <v>109</v>
      </c>
      <c r="F195" s="80">
        <v>0.05</v>
      </c>
      <c r="G195" s="81">
        <v>0.06</v>
      </c>
      <c r="H195" s="82">
        <v>7.4999999999999997E-2</v>
      </c>
      <c r="I195" s="83">
        <v>8.5000000000000006E-2</v>
      </c>
      <c r="J195" s="82">
        <v>0.09</v>
      </c>
      <c r="K195" s="83"/>
      <c r="L195" s="83"/>
    </row>
    <row r="196" spans="1:12" hidden="1" outlineLevel="1" x14ac:dyDescent="0.2">
      <c r="A196" s="90"/>
      <c r="B196" s="52" t="s">
        <v>130</v>
      </c>
      <c r="C196" s="52" t="s">
        <v>138</v>
      </c>
      <c r="D196" s="52" t="s">
        <v>136</v>
      </c>
      <c r="E196" s="79" t="s">
        <v>110</v>
      </c>
      <c r="F196" s="83"/>
      <c r="G196" s="83"/>
      <c r="H196" s="83"/>
      <c r="I196" s="83">
        <v>0.01</v>
      </c>
      <c r="J196" s="83"/>
      <c r="K196" s="81">
        <v>1.4999999999999999E-2</v>
      </c>
      <c r="L196" s="80">
        <v>0.02</v>
      </c>
    </row>
    <row r="197" spans="1:12" hidden="1" outlineLevel="1" x14ac:dyDescent="0.2">
      <c r="A197" s="90"/>
      <c r="B197" s="52" t="s">
        <v>130</v>
      </c>
      <c r="C197" s="52" t="s">
        <v>138</v>
      </c>
      <c r="D197" s="52" t="s">
        <v>136</v>
      </c>
      <c r="E197" s="79" t="s">
        <v>34</v>
      </c>
      <c r="F197" s="83"/>
      <c r="G197" s="83"/>
      <c r="H197" s="82">
        <v>5.5E-2</v>
      </c>
      <c r="I197" s="83">
        <v>0.06</v>
      </c>
      <c r="J197" s="82">
        <v>6.5000000000000002E-2</v>
      </c>
      <c r="K197" s="81">
        <v>7.4999999999999997E-2</v>
      </c>
      <c r="L197" s="80">
        <v>8.5000000000000006E-2</v>
      </c>
    </row>
    <row r="198" spans="1:12" hidden="1" outlineLevel="1" x14ac:dyDescent="0.2">
      <c r="A198" s="90"/>
      <c r="B198" s="52" t="s">
        <v>130</v>
      </c>
      <c r="C198" s="52" t="s">
        <v>138</v>
      </c>
      <c r="D198" s="52" t="s">
        <v>136</v>
      </c>
      <c r="E198" s="79" t="s">
        <v>4</v>
      </c>
      <c r="F198" s="85">
        <v>15</v>
      </c>
      <c r="G198" s="86">
        <v>15.5</v>
      </c>
      <c r="H198" s="87">
        <v>16.5</v>
      </c>
      <c r="I198" s="88">
        <v>17</v>
      </c>
      <c r="J198" s="87">
        <v>17.5</v>
      </c>
      <c r="K198" s="86">
        <v>18.5</v>
      </c>
      <c r="L198" s="85">
        <v>19</v>
      </c>
    </row>
    <row r="199" spans="1:12" hidden="1" outlineLevel="1" x14ac:dyDescent="0.2">
      <c r="A199" s="90"/>
      <c r="B199" s="52" t="s">
        <v>130</v>
      </c>
      <c r="C199" s="52" t="s">
        <v>138</v>
      </c>
      <c r="D199" s="52" t="s">
        <v>136</v>
      </c>
      <c r="E199" s="79" t="s">
        <v>14</v>
      </c>
      <c r="F199" s="85">
        <v>9</v>
      </c>
      <c r="G199" s="86">
        <v>9.5</v>
      </c>
      <c r="H199" s="87">
        <v>10.5</v>
      </c>
      <c r="I199" s="88">
        <v>10.5</v>
      </c>
      <c r="J199" s="87">
        <v>11</v>
      </c>
      <c r="K199" s="86">
        <v>11.5</v>
      </c>
      <c r="L199" s="85">
        <v>12.5</v>
      </c>
    </row>
    <row r="200" spans="1:12" hidden="1" outlineLevel="1" x14ac:dyDescent="0.2">
      <c r="A200" s="90"/>
      <c r="B200" s="52" t="s">
        <v>130</v>
      </c>
      <c r="C200" s="52" t="s">
        <v>138</v>
      </c>
      <c r="D200" s="52" t="s">
        <v>136</v>
      </c>
      <c r="E200" s="79" t="s">
        <v>0</v>
      </c>
      <c r="F200" s="85">
        <v>19.5</v>
      </c>
      <c r="G200" s="86">
        <v>20</v>
      </c>
      <c r="H200" s="87">
        <v>21</v>
      </c>
      <c r="I200" s="88">
        <v>21.5</v>
      </c>
      <c r="J200" s="87">
        <v>21.5</v>
      </c>
      <c r="K200" s="86">
        <v>22.5</v>
      </c>
      <c r="L200" s="85">
        <v>23.5</v>
      </c>
    </row>
    <row r="201" spans="1:12" hidden="1" outlineLevel="1" x14ac:dyDescent="0.2">
      <c r="A201" s="90"/>
    </row>
    <row r="202" spans="1:12" collapsed="1" x14ac:dyDescent="0.2">
      <c r="A202" s="90">
        <v>206</v>
      </c>
      <c r="B202" s="52" t="s">
        <v>130</v>
      </c>
      <c r="C202" s="52" t="s">
        <v>139</v>
      </c>
      <c r="D202" s="52" t="s">
        <v>136</v>
      </c>
      <c r="E202" s="179" t="s">
        <v>225</v>
      </c>
    </row>
    <row r="203" spans="1:12" hidden="1" outlineLevel="1" x14ac:dyDescent="0.2">
      <c r="A203" s="90"/>
      <c r="B203" s="52" t="s">
        <v>130</v>
      </c>
      <c r="C203" s="52" t="s">
        <v>139</v>
      </c>
      <c r="D203" s="52" t="s">
        <v>136</v>
      </c>
      <c r="E203" s="79" t="s">
        <v>103</v>
      </c>
      <c r="F203" s="80">
        <v>0.505</v>
      </c>
      <c r="G203" s="81">
        <v>0.53</v>
      </c>
      <c r="H203" s="82">
        <v>0.56000000000000005</v>
      </c>
      <c r="I203" s="83">
        <v>0.57499999999999996</v>
      </c>
      <c r="J203" s="82">
        <v>0.59</v>
      </c>
      <c r="K203" s="81">
        <v>0.61</v>
      </c>
      <c r="L203" s="80">
        <v>0.625</v>
      </c>
    </row>
    <row r="204" spans="1:12" hidden="1" outlineLevel="1" x14ac:dyDescent="0.2">
      <c r="A204" s="90"/>
      <c r="B204" s="52" t="s">
        <v>130</v>
      </c>
      <c r="C204" s="52" t="s">
        <v>139</v>
      </c>
      <c r="D204" s="52" t="s">
        <v>136</v>
      </c>
      <c r="E204" s="79" t="s">
        <v>104</v>
      </c>
      <c r="F204" s="83"/>
      <c r="G204" s="83"/>
      <c r="H204" s="82">
        <v>0.01</v>
      </c>
      <c r="I204" s="83">
        <v>0.01</v>
      </c>
      <c r="J204" s="82">
        <v>1.4999999999999999E-2</v>
      </c>
      <c r="K204" s="81">
        <v>0.02</v>
      </c>
      <c r="L204" s="80">
        <v>0.03</v>
      </c>
    </row>
    <row r="205" spans="1:12" hidden="1" outlineLevel="1" x14ac:dyDescent="0.2">
      <c r="A205" s="90"/>
      <c r="B205" s="52" t="s">
        <v>130</v>
      </c>
      <c r="C205" s="52" t="s">
        <v>139</v>
      </c>
      <c r="D205" s="52" t="s">
        <v>136</v>
      </c>
      <c r="E205" s="79" t="s">
        <v>105</v>
      </c>
      <c r="F205" s="83"/>
      <c r="G205" s="83"/>
      <c r="H205" s="82">
        <v>7.4999999999999997E-2</v>
      </c>
      <c r="I205" s="83">
        <v>0.08</v>
      </c>
      <c r="J205" s="82">
        <v>0.09</v>
      </c>
      <c r="K205" s="81">
        <v>0.11</v>
      </c>
      <c r="L205" s="80">
        <v>0.12</v>
      </c>
    </row>
    <row r="206" spans="1:12" hidden="1" outlineLevel="1" x14ac:dyDescent="0.2">
      <c r="A206" s="90"/>
      <c r="B206" s="52" t="s">
        <v>130</v>
      </c>
      <c r="C206" s="52" t="s">
        <v>139</v>
      </c>
      <c r="D206" s="52" t="s">
        <v>136</v>
      </c>
      <c r="E206" s="79" t="s">
        <v>106</v>
      </c>
      <c r="F206" s="83"/>
      <c r="G206" s="83"/>
      <c r="H206" s="83"/>
      <c r="I206" s="83">
        <v>0.06</v>
      </c>
      <c r="J206" s="83"/>
      <c r="K206" s="81">
        <v>0.08</v>
      </c>
      <c r="L206" s="80">
        <v>9.5000000000000001E-2</v>
      </c>
    </row>
    <row r="207" spans="1:12" hidden="1" outlineLevel="1" x14ac:dyDescent="0.2">
      <c r="A207" s="90"/>
      <c r="B207" s="52" t="s">
        <v>130</v>
      </c>
      <c r="C207" s="52" t="s">
        <v>139</v>
      </c>
      <c r="D207" s="52" t="s">
        <v>136</v>
      </c>
      <c r="E207" s="79" t="s">
        <v>107</v>
      </c>
      <c r="F207" s="83"/>
      <c r="G207" s="83"/>
      <c r="H207" s="83"/>
      <c r="I207" s="83">
        <v>1.4999999999999999E-2</v>
      </c>
      <c r="J207" s="83"/>
      <c r="K207" s="81">
        <v>3.5000000000000003E-2</v>
      </c>
      <c r="L207" s="80">
        <v>5.5E-2</v>
      </c>
    </row>
    <row r="208" spans="1:12" hidden="1" outlineLevel="1" x14ac:dyDescent="0.2">
      <c r="A208" s="90"/>
      <c r="B208" s="52" t="s">
        <v>130</v>
      </c>
      <c r="C208" s="52" t="s">
        <v>139</v>
      </c>
      <c r="D208" s="52" t="s">
        <v>136</v>
      </c>
      <c r="E208" s="79" t="s">
        <v>108</v>
      </c>
      <c r="F208" s="83"/>
      <c r="G208" s="83"/>
      <c r="H208" s="83"/>
      <c r="I208" s="83">
        <v>5.5E-2</v>
      </c>
      <c r="J208" s="83"/>
      <c r="K208" s="81">
        <v>6.5000000000000002E-2</v>
      </c>
      <c r="L208" s="80">
        <v>0.08</v>
      </c>
    </row>
    <row r="209" spans="1:12" hidden="1" outlineLevel="1" x14ac:dyDescent="0.2">
      <c r="A209" s="90"/>
      <c r="B209" s="52" t="s">
        <v>130</v>
      </c>
      <c r="C209" s="52" t="s">
        <v>139</v>
      </c>
      <c r="D209" s="52" t="s">
        <v>136</v>
      </c>
      <c r="E209" s="79" t="s">
        <v>109</v>
      </c>
      <c r="F209" s="80">
        <v>0.05</v>
      </c>
      <c r="G209" s="81">
        <v>5.5E-2</v>
      </c>
      <c r="H209" s="82">
        <v>7.0000000000000007E-2</v>
      </c>
      <c r="I209" s="83">
        <v>7.4999999999999997E-2</v>
      </c>
      <c r="J209" s="82">
        <v>8.5000000000000006E-2</v>
      </c>
      <c r="K209" s="83"/>
      <c r="L209" s="83"/>
    </row>
    <row r="210" spans="1:12" hidden="1" outlineLevel="1" x14ac:dyDescent="0.2">
      <c r="A210" s="90"/>
      <c r="B210" s="52" t="s">
        <v>130</v>
      </c>
      <c r="C210" s="52" t="s">
        <v>139</v>
      </c>
      <c r="D210" s="52" t="s">
        <v>136</v>
      </c>
      <c r="E210" s="79" t="s">
        <v>110</v>
      </c>
      <c r="F210" s="83"/>
      <c r="G210" s="83"/>
      <c r="H210" s="83"/>
      <c r="I210" s="83">
        <v>0.01</v>
      </c>
      <c r="J210" s="83"/>
      <c r="K210" s="81">
        <v>1.4999999999999999E-2</v>
      </c>
      <c r="L210" s="80">
        <v>0.02</v>
      </c>
    </row>
    <row r="211" spans="1:12" hidden="1" outlineLevel="1" x14ac:dyDescent="0.2">
      <c r="A211" s="90"/>
      <c r="B211" s="52" t="s">
        <v>130</v>
      </c>
      <c r="C211" s="52" t="s">
        <v>139</v>
      </c>
      <c r="D211" s="52" t="s">
        <v>136</v>
      </c>
      <c r="E211" s="79" t="s">
        <v>34</v>
      </c>
      <c r="F211" s="83"/>
      <c r="G211" s="83"/>
      <c r="H211" s="82">
        <v>0.05</v>
      </c>
      <c r="I211" s="83">
        <v>5.5E-2</v>
      </c>
      <c r="J211" s="82">
        <v>5.5E-2</v>
      </c>
      <c r="K211" s="81">
        <v>6.5000000000000002E-2</v>
      </c>
      <c r="L211" s="80">
        <v>7.4999999999999997E-2</v>
      </c>
    </row>
    <row r="212" spans="1:12" hidden="1" outlineLevel="1" x14ac:dyDescent="0.2">
      <c r="A212" s="90"/>
      <c r="B212" s="52" t="s">
        <v>130</v>
      </c>
      <c r="C212" s="52" t="s">
        <v>139</v>
      </c>
      <c r="D212" s="52" t="s">
        <v>136</v>
      </c>
      <c r="E212" s="79" t="s">
        <v>4</v>
      </c>
      <c r="F212" s="85">
        <v>15.5</v>
      </c>
      <c r="G212" s="86">
        <v>16</v>
      </c>
      <c r="H212" s="87">
        <v>16.5</v>
      </c>
      <c r="I212" s="88">
        <v>17</v>
      </c>
      <c r="J212" s="87">
        <v>17</v>
      </c>
      <c r="K212" s="86">
        <v>18</v>
      </c>
      <c r="L212" s="85">
        <v>18.5</v>
      </c>
    </row>
    <row r="213" spans="1:12" hidden="1" outlineLevel="1" x14ac:dyDescent="0.2">
      <c r="A213" s="90"/>
      <c r="B213" s="52" t="s">
        <v>130</v>
      </c>
      <c r="C213" s="52" t="s">
        <v>139</v>
      </c>
      <c r="D213" s="52" t="s">
        <v>136</v>
      </c>
      <c r="E213" s="79" t="s">
        <v>14</v>
      </c>
      <c r="F213" s="85">
        <v>9</v>
      </c>
      <c r="G213" s="86">
        <v>9.5</v>
      </c>
      <c r="H213" s="87">
        <v>10</v>
      </c>
      <c r="I213" s="88">
        <v>10.5</v>
      </c>
      <c r="J213" s="87">
        <v>10.5</v>
      </c>
      <c r="K213" s="86">
        <v>11</v>
      </c>
      <c r="L213" s="85">
        <v>12</v>
      </c>
    </row>
    <row r="214" spans="1:12" hidden="1" outlineLevel="1" x14ac:dyDescent="0.2">
      <c r="A214" s="90"/>
      <c r="B214" s="52" t="s">
        <v>130</v>
      </c>
      <c r="C214" s="52" t="s">
        <v>139</v>
      </c>
      <c r="D214" s="52" t="s">
        <v>136</v>
      </c>
      <c r="E214" s="79" t="s">
        <v>0</v>
      </c>
      <c r="F214" s="85">
        <v>19.5</v>
      </c>
      <c r="G214" s="86">
        <v>20</v>
      </c>
      <c r="H214" s="87">
        <v>20.5</v>
      </c>
      <c r="I214" s="88">
        <v>21</v>
      </c>
      <c r="J214" s="87">
        <v>21.5</v>
      </c>
      <c r="K214" s="86">
        <v>22.5</v>
      </c>
      <c r="L214" s="85">
        <v>23.5</v>
      </c>
    </row>
    <row r="215" spans="1:12" hidden="1" outlineLevel="1" x14ac:dyDescent="0.2">
      <c r="A215" s="90"/>
    </row>
    <row r="216" spans="1:12" collapsed="1" x14ac:dyDescent="0.2">
      <c r="A216" s="90">
        <v>36</v>
      </c>
      <c r="B216" s="52" t="s">
        <v>131</v>
      </c>
      <c r="C216" s="52" t="s">
        <v>137</v>
      </c>
      <c r="D216" s="52" t="s">
        <v>136</v>
      </c>
      <c r="E216" s="179" t="s">
        <v>226</v>
      </c>
    </row>
    <row r="217" spans="1:12" hidden="1" outlineLevel="1" x14ac:dyDescent="0.2">
      <c r="A217" s="90"/>
      <c r="B217" s="52" t="s">
        <v>131</v>
      </c>
      <c r="C217" s="52" t="s">
        <v>137</v>
      </c>
      <c r="D217" s="52" t="s">
        <v>136</v>
      </c>
      <c r="E217" s="79" t="s">
        <v>103</v>
      </c>
      <c r="F217" s="80">
        <v>0.44500000000000001</v>
      </c>
      <c r="G217" s="81">
        <v>0.495</v>
      </c>
      <c r="H217" s="82">
        <v>0.52500000000000002</v>
      </c>
      <c r="I217" s="83">
        <v>0.54500000000000004</v>
      </c>
      <c r="J217" s="82">
        <v>0.55000000000000004</v>
      </c>
      <c r="K217" s="81">
        <v>0.57999999999999996</v>
      </c>
      <c r="L217" s="80">
        <v>0.6</v>
      </c>
    </row>
    <row r="218" spans="1:12" hidden="1" outlineLevel="1" x14ac:dyDescent="0.2">
      <c r="A218" s="90"/>
      <c r="B218" s="52" t="s">
        <v>131</v>
      </c>
      <c r="C218" s="52" t="s">
        <v>137</v>
      </c>
      <c r="D218" s="52" t="s">
        <v>136</v>
      </c>
      <c r="E218" s="79" t="s">
        <v>104</v>
      </c>
      <c r="F218" s="83"/>
      <c r="G218" s="83"/>
      <c r="H218" s="82">
        <v>0.01</v>
      </c>
      <c r="I218" s="83">
        <v>1.4999999999999999E-2</v>
      </c>
      <c r="J218" s="82">
        <v>2.5000000000000001E-2</v>
      </c>
      <c r="K218" s="81">
        <v>0.04</v>
      </c>
      <c r="L218" s="80">
        <v>0.05</v>
      </c>
    </row>
    <row r="219" spans="1:12" hidden="1" outlineLevel="1" x14ac:dyDescent="0.2">
      <c r="A219" s="90"/>
      <c r="B219" s="52" t="s">
        <v>131</v>
      </c>
      <c r="C219" s="52" t="s">
        <v>137</v>
      </c>
      <c r="D219" s="52" t="s">
        <v>136</v>
      </c>
      <c r="E219" s="79" t="s">
        <v>105</v>
      </c>
      <c r="F219" s="83"/>
      <c r="G219" s="83"/>
      <c r="H219" s="82">
        <v>0.09</v>
      </c>
      <c r="I219" s="83">
        <v>9.5000000000000001E-2</v>
      </c>
      <c r="J219" s="82">
        <v>0.1</v>
      </c>
      <c r="K219" s="81">
        <v>0.125</v>
      </c>
      <c r="L219" s="80">
        <v>0.14499999999999999</v>
      </c>
    </row>
    <row r="220" spans="1:12" hidden="1" outlineLevel="1" x14ac:dyDescent="0.2">
      <c r="A220" s="90"/>
      <c r="B220" s="52" t="s">
        <v>131</v>
      </c>
      <c r="C220" s="52" t="s">
        <v>137</v>
      </c>
      <c r="D220" s="52" t="s">
        <v>136</v>
      </c>
      <c r="E220" s="79" t="s">
        <v>106</v>
      </c>
      <c r="F220" s="83"/>
      <c r="G220" s="83"/>
      <c r="H220" s="83"/>
      <c r="I220" s="83">
        <v>6.5000000000000002E-2</v>
      </c>
      <c r="J220" s="83"/>
      <c r="K220" s="81">
        <v>8.5000000000000006E-2</v>
      </c>
      <c r="L220" s="80">
        <v>0.09</v>
      </c>
    </row>
    <row r="221" spans="1:12" hidden="1" outlineLevel="1" x14ac:dyDescent="0.2">
      <c r="A221" s="90"/>
      <c r="B221" s="52" t="s">
        <v>131</v>
      </c>
      <c r="C221" s="52" t="s">
        <v>137</v>
      </c>
      <c r="D221" s="52" t="s">
        <v>136</v>
      </c>
      <c r="E221" s="79" t="s">
        <v>107</v>
      </c>
      <c r="F221" s="83"/>
      <c r="G221" s="83"/>
      <c r="H221" s="83"/>
      <c r="I221" s="83">
        <v>0.02</v>
      </c>
      <c r="J221" s="83"/>
      <c r="K221" s="81">
        <v>0.04</v>
      </c>
      <c r="L221" s="80">
        <v>6.5000000000000002E-2</v>
      </c>
    </row>
    <row r="222" spans="1:12" hidden="1" outlineLevel="1" x14ac:dyDescent="0.2">
      <c r="A222" s="90"/>
      <c r="B222" s="52" t="s">
        <v>131</v>
      </c>
      <c r="C222" s="52" t="s">
        <v>137</v>
      </c>
      <c r="D222" s="52" t="s">
        <v>136</v>
      </c>
      <c r="E222" s="79" t="s">
        <v>108</v>
      </c>
      <c r="F222" s="83"/>
      <c r="G222" s="83"/>
      <c r="H222" s="83"/>
      <c r="I222" s="83">
        <v>5.5E-2</v>
      </c>
      <c r="J222" s="83"/>
      <c r="K222" s="81">
        <v>0.08</v>
      </c>
      <c r="L222" s="80">
        <v>0.1</v>
      </c>
    </row>
    <row r="223" spans="1:12" hidden="1" outlineLevel="1" x14ac:dyDescent="0.2">
      <c r="A223" s="90"/>
      <c r="B223" s="52" t="s">
        <v>131</v>
      </c>
      <c r="C223" s="52" t="s">
        <v>137</v>
      </c>
      <c r="D223" s="52" t="s">
        <v>136</v>
      </c>
      <c r="E223" s="79" t="s">
        <v>109</v>
      </c>
      <c r="F223" s="80">
        <v>3.5000000000000003E-2</v>
      </c>
      <c r="G223" s="81">
        <v>4.4999999999999998E-2</v>
      </c>
      <c r="H223" s="82">
        <v>0.05</v>
      </c>
      <c r="I223" s="83">
        <v>0.06</v>
      </c>
      <c r="J223" s="82">
        <v>7.0000000000000007E-2</v>
      </c>
      <c r="K223" s="83"/>
      <c r="L223" s="83"/>
    </row>
    <row r="224" spans="1:12" hidden="1" outlineLevel="1" x14ac:dyDescent="0.2">
      <c r="A224" s="90"/>
      <c r="B224" s="52" t="s">
        <v>131</v>
      </c>
      <c r="C224" s="52" t="s">
        <v>137</v>
      </c>
      <c r="D224" s="52" t="s">
        <v>136</v>
      </c>
      <c r="E224" s="79" t="s">
        <v>110</v>
      </c>
      <c r="F224" s="83"/>
      <c r="G224" s="83"/>
      <c r="H224" s="83"/>
      <c r="I224" s="83">
        <v>0.01</v>
      </c>
      <c r="J224" s="83"/>
      <c r="K224" s="81">
        <v>1.4999999999999999E-2</v>
      </c>
      <c r="L224" s="80">
        <v>0.02</v>
      </c>
    </row>
    <row r="225" spans="1:12" hidden="1" outlineLevel="1" x14ac:dyDescent="0.2">
      <c r="A225" s="90"/>
      <c r="B225" s="52" t="s">
        <v>131</v>
      </c>
      <c r="C225" s="52" t="s">
        <v>137</v>
      </c>
      <c r="D225" s="52" t="s">
        <v>136</v>
      </c>
      <c r="E225" s="79" t="s">
        <v>34</v>
      </c>
      <c r="F225" s="83"/>
      <c r="G225" s="83"/>
      <c r="H225" s="82">
        <v>7.0000000000000007E-2</v>
      </c>
      <c r="I225" s="83">
        <v>8.5000000000000006E-2</v>
      </c>
      <c r="J225" s="82">
        <v>0.09</v>
      </c>
      <c r="K225" s="81">
        <v>0.11</v>
      </c>
      <c r="L225" s="80">
        <v>0.125</v>
      </c>
    </row>
    <row r="226" spans="1:12" hidden="1" outlineLevel="1" x14ac:dyDescent="0.2">
      <c r="A226" s="90"/>
      <c r="B226" s="52" t="s">
        <v>131</v>
      </c>
      <c r="C226" s="52" t="s">
        <v>137</v>
      </c>
      <c r="D226" s="52" t="s">
        <v>136</v>
      </c>
      <c r="E226" s="79" t="s">
        <v>4</v>
      </c>
      <c r="F226" s="85">
        <v>13</v>
      </c>
      <c r="G226" s="86">
        <v>15</v>
      </c>
      <c r="H226" s="87">
        <v>17</v>
      </c>
      <c r="I226" s="88">
        <v>17.5</v>
      </c>
      <c r="J226" s="87">
        <v>18</v>
      </c>
      <c r="K226" s="86">
        <v>19.5</v>
      </c>
      <c r="L226" s="85">
        <v>20.5</v>
      </c>
    </row>
    <row r="227" spans="1:12" hidden="1" outlineLevel="1" x14ac:dyDescent="0.2">
      <c r="A227" s="90"/>
      <c r="B227" s="52" t="s">
        <v>131</v>
      </c>
      <c r="C227" s="52" t="s">
        <v>137</v>
      </c>
      <c r="D227" s="52" t="s">
        <v>136</v>
      </c>
      <c r="E227" s="79" t="s">
        <v>14</v>
      </c>
      <c r="F227" s="85">
        <v>7</v>
      </c>
      <c r="G227" s="86">
        <v>8</v>
      </c>
      <c r="H227" s="87">
        <v>9.5</v>
      </c>
      <c r="I227" s="88">
        <v>10</v>
      </c>
      <c r="J227" s="87">
        <v>10.5</v>
      </c>
      <c r="K227" s="86">
        <v>11</v>
      </c>
      <c r="L227" s="85">
        <v>11.5</v>
      </c>
    </row>
    <row r="228" spans="1:12" hidden="1" outlineLevel="1" x14ac:dyDescent="0.2">
      <c r="A228" s="90"/>
      <c r="B228" s="52" t="s">
        <v>131</v>
      </c>
      <c r="C228" s="52" t="s">
        <v>137</v>
      </c>
      <c r="D228" s="52" t="s">
        <v>136</v>
      </c>
      <c r="E228" s="79" t="s">
        <v>0</v>
      </c>
      <c r="F228" s="85">
        <v>19.5</v>
      </c>
      <c r="G228" s="86">
        <v>21.5</v>
      </c>
      <c r="H228" s="87">
        <v>23</v>
      </c>
      <c r="I228" s="88">
        <v>24</v>
      </c>
      <c r="J228" s="87">
        <v>25.5</v>
      </c>
      <c r="K228" s="86">
        <v>27</v>
      </c>
      <c r="L228" s="85">
        <v>27.5</v>
      </c>
    </row>
    <row r="229" spans="1:12" hidden="1" outlineLevel="1" x14ac:dyDescent="0.2">
      <c r="A229" s="90"/>
    </row>
    <row r="230" spans="1:12" collapsed="1" x14ac:dyDescent="0.2">
      <c r="A230" s="90">
        <v>95</v>
      </c>
      <c r="B230" s="52" t="s">
        <v>131</v>
      </c>
      <c r="C230" s="52" t="s">
        <v>138</v>
      </c>
      <c r="D230" s="52" t="s">
        <v>136</v>
      </c>
      <c r="E230" s="179" t="s">
        <v>227</v>
      </c>
    </row>
    <row r="231" spans="1:12" hidden="1" outlineLevel="1" x14ac:dyDescent="0.2">
      <c r="A231" s="90"/>
      <c r="B231" s="52" t="s">
        <v>131</v>
      </c>
      <c r="C231" s="52" t="s">
        <v>138</v>
      </c>
      <c r="D231" s="52" t="s">
        <v>136</v>
      </c>
      <c r="E231" s="79" t="s">
        <v>103</v>
      </c>
      <c r="F231" s="80">
        <v>0.49</v>
      </c>
      <c r="G231" s="81">
        <v>0.505</v>
      </c>
      <c r="H231" s="82">
        <v>0.54500000000000004</v>
      </c>
      <c r="I231" s="83">
        <v>0.55000000000000004</v>
      </c>
      <c r="J231" s="82">
        <v>0.56999999999999995</v>
      </c>
      <c r="K231" s="81">
        <v>0.59499999999999997</v>
      </c>
      <c r="L231" s="80">
        <v>0.62</v>
      </c>
    </row>
    <row r="232" spans="1:12" hidden="1" outlineLevel="1" x14ac:dyDescent="0.2">
      <c r="A232" s="90"/>
      <c r="B232" s="52" t="s">
        <v>131</v>
      </c>
      <c r="C232" s="52" t="s">
        <v>138</v>
      </c>
      <c r="D232" s="52" t="s">
        <v>136</v>
      </c>
      <c r="E232" s="79" t="s">
        <v>104</v>
      </c>
      <c r="F232" s="83"/>
      <c r="G232" s="83"/>
      <c r="H232" s="82">
        <v>1.4999999999999999E-2</v>
      </c>
      <c r="I232" s="83">
        <v>1.4999999999999999E-2</v>
      </c>
      <c r="J232" s="82">
        <v>0.02</v>
      </c>
      <c r="K232" s="81">
        <v>2.5000000000000001E-2</v>
      </c>
      <c r="L232" s="80">
        <v>3.5000000000000003E-2</v>
      </c>
    </row>
    <row r="233" spans="1:12" hidden="1" outlineLevel="1" x14ac:dyDescent="0.2">
      <c r="A233" s="90"/>
      <c r="B233" s="52" t="s">
        <v>131</v>
      </c>
      <c r="C233" s="52" t="s">
        <v>138</v>
      </c>
      <c r="D233" s="52" t="s">
        <v>136</v>
      </c>
      <c r="E233" s="79" t="s">
        <v>105</v>
      </c>
      <c r="F233" s="83"/>
      <c r="G233" s="83"/>
      <c r="H233" s="82">
        <v>0.09</v>
      </c>
      <c r="I233" s="83">
        <v>0.09</v>
      </c>
      <c r="J233" s="82">
        <v>0.1</v>
      </c>
      <c r="K233" s="81">
        <v>0.125</v>
      </c>
      <c r="L233" s="80">
        <v>0.14000000000000001</v>
      </c>
    </row>
    <row r="234" spans="1:12" hidden="1" outlineLevel="1" x14ac:dyDescent="0.2">
      <c r="A234" s="90"/>
      <c r="B234" s="52" t="s">
        <v>131</v>
      </c>
      <c r="C234" s="52" t="s">
        <v>138</v>
      </c>
      <c r="D234" s="52" t="s">
        <v>136</v>
      </c>
      <c r="E234" s="79" t="s">
        <v>106</v>
      </c>
      <c r="F234" s="83"/>
      <c r="G234" s="83"/>
      <c r="H234" s="83"/>
      <c r="I234" s="83">
        <v>6.5000000000000002E-2</v>
      </c>
      <c r="J234" s="83"/>
      <c r="K234" s="81">
        <v>0.08</v>
      </c>
      <c r="L234" s="80">
        <v>0.1</v>
      </c>
    </row>
    <row r="235" spans="1:12" hidden="1" outlineLevel="1" x14ac:dyDescent="0.2">
      <c r="A235" s="90"/>
      <c r="B235" s="52" t="s">
        <v>131</v>
      </c>
      <c r="C235" s="52" t="s">
        <v>138</v>
      </c>
      <c r="D235" s="52" t="s">
        <v>136</v>
      </c>
      <c r="E235" s="79" t="s">
        <v>107</v>
      </c>
      <c r="F235" s="83"/>
      <c r="G235" s="83"/>
      <c r="H235" s="83"/>
      <c r="I235" s="83">
        <v>1.4999999999999999E-2</v>
      </c>
      <c r="J235" s="83"/>
      <c r="K235" s="81">
        <v>0.03</v>
      </c>
      <c r="L235" s="80">
        <v>0.04</v>
      </c>
    </row>
    <row r="236" spans="1:12" hidden="1" outlineLevel="1" x14ac:dyDescent="0.2">
      <c r="A236" s="90"/>
      <c r="B236" s="52" t="s">
        <v>131</v>
      </c>
      <c r="C236" s="52" t="s">
        <v>138</v>
      </c>
      <c r="D236" s="52" t="s">
        <v>136</v>
      </c>
      <c r="E236" s="79" t="s">
        <v>108</v>
      </c>
      <c r="F236" s="83"/>
      <c r="G236" s="83"/>
      <c r="H236" s="83"/>
      <c r="I236" s="83">
        <v>5.5E-2</v>
      </c>
      <c r="J236" s="83"/>
      <c r="K236" s="81">
        <v>7.0000000000000007E-2</v>
      </c>
      <c r="L236" s="80">
        <v>0.09</v>
      </c>
    </row>
    <row r="237" spans="1:12" hidden="1" outlineLevel="1" x14ac:dyDescent="0.2">
      <c r="A237" s="90"/>
      <c r="B237" s="52" t="s">
        <v>131</v>
      </c>
      <c r="C237" s="52" t="s">
        <v>138</v>
      </c>
      <c r="D237" s="52" t="s">
        <v>136</v>
      </c>
      <c r="E237" s="79" t="s">
        <v>109</v>
      </c>
      <c r="F237" s="80">
        <v>0.04</v>
      </c>
      <c r="G237" s="81">
        <v>0.05</v>
      </c>
      <c r="H237" s="82">
        <v>0.06</v>
      </c>
      <c r="I237" s="83">
        <v>6.5000000000000002E-2</v>
      </c>
      <c r="J237" s="82">
        <v>7.0000000000000007E-2</v>
      </c>
      <c r="K237" s="83"/>
      <c r="L237" s="83"/>
    </row>
    <row r="238" spans="1:12" hidden="1" outlineLevel="1" x14ac:dyDescent="0.2">
      <c r="A238" s="90"/>
      <c r="B238" s="52" t="s">
        <v>131</v>
      </c>
      <c r="C238" s="52" t="s">
        <v>138</v>
      </c>
      <c r="D238" s="52" t="s">
        <v>136</v>
      </c>
      <c r="E238" s="79" t="s">
        <v>110</v>
      </c>
      <c r="F238" s="83"/>
      <c r="G238" s="83"/>
      <c r="H238" s="83"/>
      <c r="I238" s="83">
        <v>0.01</v>
      </c>
      <c r="J238" s="83"/>
      <c r="K238" s="81">
        <v>1.4999999999999999E-2</v>
      </c>
      <c r="L238" s="80">
        <v>0.02</v>
      </c>
    </row>
    <row r="239" spans="1:12" hidden="1" outlineLevel="1" x14ac:dyDescent="0.2">
      <c r="A239" s="90"/>
      <c r="B239" s="52" t="s">
        <v>131</v>
      </c>
      <c r="C239" s="52" t="s">
        <v>138</v>
      </c>
      <c r="D239" s="52" t="s">
        <v>136</v>
      </c>
      <c r="E239" s="79" t="s">
        <v>34</v>
      </c>
      <c r="F239" s="83"/>
      <c r="G239" s="83"/>
      <c r="H239" s="82">
        <v>0.06</v>
      </c>
      <c r="I239" s="83">
        <v>0.06</v>
      </c>
      <c r="J239" s="82">
        <v>7.0000000000000007E-2</v>
      </c>
      <c r="K239" s="81">
        <v>8.5000000000000006E-2</v>
      </c>
      <c r="L239" s="80">
        <v>0.105</v>
      </c>
    </row>
    <row r="240" spans="1:12" hidden="1" outlineLevel="1" x14ac:dyDescent="0.2">
      <c r="A240" s="90"/>
      <c r="B240" s="52" t="s">
        <v>131</v>
      </c>
      <c r="C240" s="52" t="s">
        <v>138</v>
      </c>
      <c r="D240" s="52" t="s">
        <v>136</v>
      </c>
      <c r="E240" s="79" t="s">
        <v>4</v>
      </c>
      <c r="F240" s="85">
        <v>16</v>
      </c>
      <c r="G240" s="86">
        <v>16.5</v>
      </c>
      <c r="H240" s="87">
        <v>17</v>
      </c>
      <c r="I240" s="88">
        <v>17</v>
      </c>
      <c r="J240" s="87">
        <v>17.5</v>
      </c>
      <c r="K240" s="86">
        <v>18.5</v>
      </c>
      <c r="L240" s="85">
        <v>20</v>
      </c>
    </row>
    <row r="241" spans="1:12" hidden="1" outlineLevel="1" x14ac:dyDescent="0.2">
      <c r="A241" s="90"/>
      <c r="B241" s="52" t="s">
        <v>131</v>
      </c>
      <c r="C241" s="52" t="s">
        <v>138</v>
      </c>
      <c r="D241" s="52" t="s">
        <v>136</v>
      </c>
      <c r="E241" s="79" t="s">
        <v>14</v>
      </c>
      <c r="F241" s="85">
        <v>8.5</v>
      </c>
      <c r="G241" s="86">
        <v>9</v>
      </c>
      <c r="H241" s="87">
        <v>9.5</v>
      </c>
      <c r="I241" s="88">
        <v>10</v>
      </c>
      <c r="J241" s="87">
        <v>10</v>
      </c>
      <c r="K241" s="86">
        <v>11</v>
      </c>
      <c r="L241" s="85">
        <v>12</v>
      </c>
    </row>
    <row r="242" spans="1:12" hidden="1" outlineLevel="1" x14ac:dyDescent="0.2">
      <c r="A242" s="90"/>
      <c r="B242" s="52" t="s">
        <v>131</v>
      </c>
      <c r="C242" s="52" t="s">
        <v>138</v>
      </c>
      <c r="D242" s="52" t="s">
        <v>136</v>
      </c>
      <c r="E242" s="79" t="s">
        <v>0</v>
      </c>
      <c r="F242" s="85">
        <v>22</v>
      </c>
      <c r="G242" s="86">
        <v>22.5</v>
      </c>
      <c r="H242" s="87">
        <v>23.5</v>
      </c>
      <c r="I242" s="88">
        <v>24</v>
      </c>
      <c r="J242" s="87">
        <v>24.5</v>
      </c>
      <c r="K242" s="86">
        <v>25.5</v>
      </c>
      <c r="L242" s="85">
        <v>26.5</v>
      </c>
    </row>
    <row r="243" spans="1:12" hidden="1" outlineLevel="1" x14ac:dyDescent="0.2">
      <c r="A243" s="90"/>
    </row>
    <row r="244" spans="1:12" collapsed="1" x14ac:dyDescent="0.2">
      <c r="A244" s="90">
        <v>65</v>
      </c>
      <c r="B244" s="52" t="s">
        <v>131</v>
      </c>
      <c r="C244" s="52" t="s">
        <v>139</v>
      </c>
      <c r="D244" s="52" t="s">
        <v>136</v>
      </c>
      <c r="E244" s="179" t="s">
        <v>228</v>
      </c>
    </row>
    <row r="245" spans="1:12" hidden="1" outlineLevel="1" x14ac:dyDescent="0.2">
      <c r="A245" s="90"/>
      <c r="B245" s="52" t="s">
        <v>131</v>
      </c>
      <c r="C245" s="52" t="s">
        <v>139</v>
      </c>
      <c r="D245" s="52" t="s">
        <v>136</v>
      </c>
      <c r="E245" s="79" t="s">
        <v>103</v>
      </c>
      <c r="F245" s="80">
        <v>0.48499999999999999</v>
      </c>
      <c r="G245" s="81">
        <v>0.51500000000000001</v>
      </c>
      <c r="H245" s="82">
        <v>0.55000000000000004</v>
      </c>
      <c r="I245" s="83">
        <v>0.56000000000000005</v>
      </c>
      <c r="J245" s="82">
        <v>0.57499999999999996</v>
      </c>
      <c r="K245" s="81">
        <v>0.59499999999999997</v>
      </c>
      <c r="L245" s="80">
        <v>0.61</v>
      </c>
    </row>
    <row r="246" spans="1:12" hidden="1" outlineLevel="1" x14ac:dyDescent="0.2">
      <c r="A246" s="90"/>
      <c r="B246" s="52" t="s">
        <v>131</v>
      </c>
      <c r="C246" s="52" t="s">
        <v>139</v>
      </c>
      <c r="D246" s="52" t="s">
        <v>136</v>
      </c>
      <c r="E246" s="79" t="s">
        <v>104</v>
      </c>
      <c r="F246" s="83"/>
      <c r="G246" s="83"/>
      <c r="H246" s="82">
        <v>0.01</v>
      </c>
      <c r="I246" s="83">
        <v>1.4999999999999999E-2</v>
      </c>
      <c r="J246" s="82">
        <v>1.4999999999999999E-2</v>
      </c>
      <c r="K246" s="81">
        <v>2.5000000000000001E-2</v>
      </c>
      <c r="L246" s="80">
        <v>3.5000000000000003E-2</v>
      </c>
    </row>
    <row r="247" spans="1:12" hidden="1" outlineLevel="1" x14ac:dyDescent="0.2">
      <c r="A247" s="90"/>
      <c r="B247" s="52" t="s">
        <v>131</v>
      </c>
      <c r="C247" s="52" t="s">
        <v>139</v>
      </c>
      <c r="D247" s="52" t="s">
        <v>136</v>
      </c>
      <c r="E247" s="79" t="s">
        <v>105</v>
      </c>
      <c r="F247" s="83"/>
      <c r="G247" s="83"/>
      <c r="H247" s="82">
        <v>0.08</v>
      </c>
      <c r="I247" s="83">
        <v>8.5000000000000006E-2</v>
      </c>
      <c r="J247" s="82">
        <v>9.5000000000000001E-2</v>
      </c>
      <c r="K247" s="81">
        <v>0.11</v>
      </c>
      <c r="L247" s="80">
        <v>0.125</v>
      </c>
    </row>
    <row r="248" spans="1:12" hidden="1" outlineLevel="1" x14ac:dyDescent="0.2">
      <c r="A248" s="90"/>
      <c r="B248" s="52" t="s">
        <v>131</v>
      </c>
      <c r="C248" s="52" t="s">
        <v>139</v>
      </c>
      <c r="D248" s="52" t="s">
        <v>136</v>
      </c>
      <c r="E248" s="79" t="s">
        <v>106</v>
      </c>
      <c r="F248" s="83"/>
      <c r="G248" s="83"/>
      <c r="H248" s="83"/>
      <c r="I248" s="83">
        <v>6.5000000000000002E-2</v>
      </c>
      <c r="J248" s="83"/>
      <c r="K248" s="81">
        <v>8.5000000000000006E-2</v>
      </c>
      <c r="L248" s="80">
        <v>0.1</v>
      </c>
    </row>
    <row r="249" spans="1:12" hidden="1" outlineLevel="1" x14ac:dyDescent="0.2">
      <c r="A249" s="90"/>
      <c r="B249" s="52" t="s">
        <v>131</v>
      </c>
      <c r="C249" s="52" t="s">
        <v>139</v>
      </c>
      <c r="D249" s="52" t="s">
        <v>136</v>
      </c>
      <c r="E249" s="79" t="s">
        <v>107</v>
      </c>
      <c r="F249" s="83"/>
      <c r="G249" s="83"/>
      <c r="H249" s="83"/>
      <c r="I249" s="83">
        <v>1.4999999999999999E-2</v>
      </c>
      <c r="J249" s="83"/>
      <c r="K249" s="81">
        <v>3.5000000000000003E-2</v>
      </c>
      <c r="L249" s="80">
        <v>5.5E-2</v>
      </c>
    </row>
    <row r="250" spans="1:12" hidden="1" outlineLevel="1" x14ac:dyDescent="0.2">
      <c r="A250" s="90"/>
      <c r="B250" s="52" t="s">
        <v>131</v>
      </c>
      <c r="C250" s="52" t="s">
        <v>139</v>
      </c>
      <c r="D250" s="52" t="s">
        <v>136</v>
      </c>
      <c r="E250" s="79" t="s">
        <v>108</v>
      </c>
      <c r="F250" s="83"/>
      <c r="G250" s="83"/>
      <c r="H250" s="83"/>
      <c r="I250" s="83">
        <v>5.5E-2</v>
      </c>
      <c r="J250" s="83"/>
      <c r="K250" s="81">
        <v>7.0000000000000007E-2</v>
      </c>
      <c r="L250" s="80">
        <v>8.5000000000000006E-2</v>
      </c>
    </row>
    <row r="251" spans="1:12" hidden="1" outlineLevel="1" x14ac:dyDescent="0.2">
      <c r="A251" s="90"/>
      <c r="B251" s="52" t="s">
        <v>131</v>
      </c>
      <c r="C251" s="52" t="s">
        <v>139</v>
      </c>
      <c r="D251" s="52" t="s">
        <v>136</v>
      </c>
      <c r="E251" s="79" t="s">
        <v>109</v>
      </c>
      <c r="F251" s="80">
        <v>4.4999999999999998E-2</v>
      </c>
      <c r="G251" s="81">
        <v>0.05</v>
      </c>
      <c r="H251" s="82">
        <v>6.5000000000000002E-2</v>
      </c>
      <c r="I251" s="83">
        <v>7.0000000000000007E-2</v>
      </c>
      <c r="J251" s="82">
        <v>0.08</v>
      </c>
      <c r="K251" s="83"/>
      <c r="L251" s="83"/>
    </row>
    <row r="252" spans="1:12" hidden="1" outlineLevel="1" x14ac:dyDescent="0.2">
      <c r="A252" s="90"/>
      <c r="B252" s="52" t="s">
        <v>131</v>
      </c>
      <c r="C252" s="52" t="s">
        <v>139</v>
      </c>
      <c r="D252" s="52" t="s">
        <v>136</v>
      </c>
      <c r="E252" s="79" t="s">
        <v>110</v>
      </c>
      <c r="F252" s="83"/>
      <c r="G252" s="83"/>
      <c r="H252" s="83"/>
      <c r="I252" s="83">
        <v>0.01</v>
      </c>
      <c r="J252" s="83"/>
      <c r="K252" s="81">
        <v>1.4999999999999999E-2</v>
      </c>
      <c r="L252" s="80">
        <v>0.02</v>
      </c>
    </row>
    <row r="253" spans="1:12" hidden="1" outlineLevel="1" x14ac:dyDescent="0.2">
      <c r="A253" s="90"/>
      <c r="B253" s="52" t="s">
        <v>131</v>
      </c>
      <c r="C253" s="52" t="s">
        <v>139</v>
      </c>
      <c r="D253" s="52" t="s">
        <v>136</v>
      </c>
      <c r="E253" s="79" t="s">
        <v>34</v>
      </c>
      <c r="F253" s="83"/>
      <c r="G253" s="83"/>
      <c r="H253" s="82">
        <v>0.05</v>
      </c>
      <c r="I253" s="83">
        <v>5.5E-2</v>
      </c>
      <c r="J253" s="82">
        <v>0.06</v>
      </c>
      <c r="K253" s="81">
        <v>7.4999999999999997E-2</v>
      </c>
      <c r="L253" s="80">
        <v>0.09</v>
      </c>
    </row>
    <row r="254" spans="1:12" hidden="1" outlineLevel="1" x14ac:dyDescent="0.2">
      <c r="A254" s="90"/>
      <c r="B254" s="52" t="s">
        <v>131</v>
      </c>
      <c r="C254" s="52" t="s">
        <v>139</v>
      </c>
      <c r="D254" s="52" t="s">
        <v>136</v>
      </c>
      <c r="E254" s="79" t="s">
        <v>4</v>
      </c>
      <c r="F254" s="85">
        <v>15</v>
      </c>
      <c r="G254" s="86">
        <v>16</v>
      </c>
      <c r="H254" s="87">
        <v>16.5</v>
      </c>
      <c r="I254" s="88">
        <v>17</v>
      </c>
      <c r="J254" s="87">
        <v>17.5</v>
      </c>
      <c r="K254" s="86">
        <v>18</v>
      </c>
      <c r="L254" s="85">
        <v>18.5</v>
      </c>
    </row>
    <row r="255" spans="1:12" hidden="1" outlineLevel="1" x14ac:dyDescent="0.2">
      <c r="A255" s="90"/>
      <c r="B255" s="52" t="s">
        <v>131</v>
      </c>
      <c r="C255" s="52" t="s">
        <v>139</v>
      </c>
      <c r="D255" s="52" t="s">
        <v>136</v>
      </c>
      <c r="E255" s="84" t="s">
        <v>14</v>
      </c>
      <c r="F255" s="85">
        <v>8.5</v>
      </c>
      <c r="G255" s="86">
        <v>9</v>
      </c>
      <c r="H255" s="87">
        <v>10</v>
      </c>
      <c r="I255" s="88">
        <v>10</v>
      </c>
      <c r="J255" s="87">
        <v>10.5</v>
      </c>
      <c r="K255" s="86">
        <v>11</v>
      </c>
      <c r="L255" s="85">
        <v>11.5</v>
      </c>
    </row>
    <row r="256" spans="1:12" hidden="1" outlineLevel="1" x14ac:dyDescent="0.2">
      <c r="A256" s="90"/>
      <c r="B256" s="52" t="s">
        <v>131</v>
      </c>
      <c r="C256" s="52" t="s">
        <v>139</v>
      </c>
      <c r="D256" s="52" t="s">
        <v>136</v>
      </c>
      <c r="E256" s="79" t="s">
        <v>0</v>
      </c>
      <c r="F256" s="85">
        <v>22</v>
      </c>
      <c r="G256" s="86">
        <v>23</v>
      </c>
      <c r="H256" s="87">
        <v>23.5</v>
      </c>
      <c r="I256" s="88">
        <v>23.5</v>
      </c>
      <c r="J256" s="87">
        <v>24</v>
      </c>
      <c r="K256" s="86">
        <v>25</v>
      </c>
      <c r="L256" s="85">
        <v>25.5</v>
      </c>
    </row>
    <row r="257" spans="1:12" hidden="1" outlineLevel="1" x14ac:dyDescent="0.2">
      <c r="A257" s="90"/>
    </row>
    <row r="258" spans="1:12" collapsed="1" x14ac:dyDescent="0.2">
      <c r="A258" s="90">
        <v>278</v>
      </c>
      <c r="B258" s="52" t="s">
        <v>130</v>
      </c>
      <c r="C258" s="52" t="s">
        <v>137</v>
      </c>
      <c r="D258" s="52" t="s">
        <v>140</v>
      </c>
      <c r="E258" s="179" t="s">
        <v>229</v>
      </c>
    </row>
    <row r="259" spans="1:12" hidden="1" outlineLevel="1" x14ac:dyDescent="0.2">
      <c r="A259" s="90"/>
      <c r="B259" s="52" t="s">
        <v>130</v>
      </c>
      <c r="C259" s="52" t="s">
        <v>137</v>
      </c>
      <c r="D259" s="52" t="s">
        <v>140</v>
      </c>
      <c r="E259" s="79" t="s">
        <v>103</v>
      </c>
      <c r="F259" s="80">
        <v>0.45500000000000002</v>
      </c>
      <c r="G259" s="81">
        <v>0.48</v>
      </c>
      <c r="H259" s="82">
        <v>0.52</v>
      </c>
      <c r="I259" s="83">
        <v>0.53500000000000003</v>
      </c>
      <c r="J259" s="82">
        <v>0.55000000000000004</v>
      </c>
      <c r="K259" s="81">
        <v>0.58499999999999996</v>
      </c>
      <c r="L259" s="80">
        <v>0.61499999999999999</v>
      </c>
    </row>
    <row r="260" spans="1:12" hidden="1" outlineLevel="1" x14ac:dyDescent="0.2">
      <c r="A260" s="90"/>
      <c r="B260" s="52" t="s">
        <v>130</v>
      </c>
      <c r="C260" s="52" t="s">
        <v>137</v>
      </c>
      <c r="D260" s="52" t="s">
        <v>140</v>
      </c>
      <c r="E260" s="79" t="s">
        <v>104</v>
      </c>
      <c r="F260" s="83"/>
      <c r="G260" s="83"/>
      <c r="H260" s="82">
        <v>1.4999999999999999E-2</v>
      </c>
      <c r="I260" s="83">
        <v>1.4999999999999999E-2</v>
      </c>
      <c r="J260" s="82">
        <v>0.02</v>
      </c>
      <c r="K260" s="81">
        <v>3.5000000000000003E-2</v>
      </c>
      <c r="L260" s="80">
        <v>0.05</v>
      </c>
    </row>
    <row r="261" spans="1:12" hidden="1" outlineLevel="1" x14ac:dyDescent="0.2">
      <c r="A261" s="90"/>
      <c r="B261" s="52" t="s">
        <v>130</v>
      </c>
      <c r="C261" s="52" t="s">
        <v>137</v>
      </c>
      <c r="D261" s="52" t="s">
        <v>140</v>
      </c>
      <c r="E261" s="79" t="s">
        <v>105</v>
      </c>
      <c r="F261" s="83"/>
      <c r="G261" s="83"/>
      <c r="H261" s="82">
        <v>7.0000000000000007E-2</v>
      </c>
      <c r="I261" s="83">
        <v>0.08</v>
      </c>
      <c r="J261" s="82">
        <v>9.5000000000000001E-2</v>
      </c>
      <c r="K261" s="81">
        <v>0.115</v>
      </c>
      <c r="L261" s="80">
        <v>0.13</v>
      </c>
    </row>
    <row r="262" spans="1:12" hidden="1" outlineLevel="1" x14ac:dyDescent="0.2">
      <c r="A262" s="90"/>
      <c r="B262" s="52" t="s">
        <v>130</v>
      </c>
      <c r="C262" s="52" t="s">
        <v>137</v>
      </c>
      <c r="D262" s="52" t="s">
        <v>140</v>
      </c>
      <c r="E262" s="79" t="s">
        <v>106</v>
      </c>
      <c r="F262" s="83"/>
      <c r="G262" s="83"/>
      <c r="H262" s="83"/>
      <c r="I262" s="83">
        <v>6.5000000000000002E-2</v>
      </c>
      <c r="J262" s="83"/>
      <c r="K262" s="81">
        <v>0.09</v>
      </c>
      <c r="L262" s="80">
        <v>0.115</v>
      </c>
    </row>
    <row r="263" spans="1:12" hidden="1" outlineLevel="1" x14ac:dyDescent="0.2">
      <c r="A263" s="90"/>
      <c r="B263" s="52" t="s">
        <v>130</v>
      </c>
      <c r="C263" s="52" t="s">
        <v>137</v>
      </c>
      <c r="D263" s="52" t="s">
        <v>140</v>
      </c>
      <c r="E263" s="79" t="s">
        <v>107</v>
      </c>
      <c r="F263" s="83"/>
      <c r="G263" s="83"/>
      <c r="H263" s="83"/>
      <c r="I263" s="83">
        <v>1.4999999999999999E-2</v>
      </c>
      <c r="J263" s="83"/>
      <c r="K263" s="81">
        <v>0.03</v>
      </c>
      <c r="L263" s="80">
        <v>4.4999999999999998E-2</v>
      </c>
    </row>
    <row r="264" spans="1:12" hidden="1" outlineLevel="1" x14ac:dyDescent="0.2">
      <c r="A264" s="90"/>
      <c r="B264" s="52" t="s">
        <v>130</v>
      </c>
      <c r="C264" s="52" t="s">
        <v>137</v>
      </c>
      <c r="D264" s="52" t="s">
        <v>140</v>
      </c>
      <c r="E264" s="79" t="s">
        <v>108</v>
      </c>
      <c r="F264" s="83"/>
      <c r="G264" s="83"/>
      <c r="H264" s="83"/>
      <c r="I264" s="83">
        <v>5.5E-2</v>
      </c>
      <c r="J264" s="83"/>
      <c r="K264" s="81">
        <v>7.0000000000000007E-2</v>
      </c>
      <c r="L264" s="80">
        <v>9.5000000000000001E-2</v>
      </c>
    </row>
    <row r="265" spans="1:12" hidden="1" outlineLevel="1" x14ac:dyDescent="0.2">
      <c r="A265" s="90"/>
      <c r="B265" s="52" t="s">
        <v>130</v>
      </c>
      <c r="C265" s="52" t="s">
        <v>137</v>
      </c>
      <c r="D265" s="52" t="s">
        <v>140</v>
      </c>
      <c r="E265" s="79" t="s">
        <v>109</v>
      </c>
      <c r="F265" s="80">
        <v>0.04</v>
      </c>
      <c r="G265" s="81">
        <v>0.05</v>
      </c>
      <c r="H265" s="82">
        <v>0.06</v>
      </c>
      <c r="I265" s="83">
        <v>6.5000000000000002E-2</v>
      </c>
      <c r="J265" s="82">
        <v>7.0000000000000007E-2</v>
      </c>
      <c r="K265" s="83"/>
      <c r="L265" s="83"/>
    </row>
    <row r="266" spans="1:12" hidden="1" outlineLevel="1" x14ac:dyDescent="0.2">
      <c r="A266" s="90"/>
      <c r="B266" s="52" t="s">
        <v>130</v>
      </c>
      <c r="C266" s="52" t="s">
        <v>137</v>
      </c>
      <c r="D266" s="52" t="s">
        <v>140</v>
      </c>
      <c r="E266" s="79" t="s">
        <v>110</v>
      </c>
      <c r="F266" s="83"/>
      <c r="G266" s="83"/>
      <c r="H266" s="83"/>
      <c r="I266" s="83">
        <v>0.01</v>
      </c>
      <c r="J266" s="83"/>
      <c r="K266" s="81">
        <v>1.4999999999999999E-2</v>
      </c>
      <c r="L266" s="80">
        <v>0.02</v>
      </c>
    </row>
    <row r="267" spans="1:12" hidden="1" outlineLevel="1" x14ac:dyDescent="0.2">
      <c r="A267" s="90"/>
      <c r="B267" s="52" t="s">
        <v>130</v>
      </c>
      <c r="C267" s="52" t="s">
        <v>137</v>
      </c>
      <c r="D267" s="52" t="s">
        <v>140</v>
      </c>
      <c r="E267" s="79" t="s">
        <v>34</v>
      </c>
      <c r="F267" s="83"/>
      <c r="G267" s="83"/>
      <c r="H267" s="82">
        <v>6.5000000000000002E-2</v>
      </c>
      <c r="I267" s="83">
        <v>7.0000000000000007E-2</v>
      </c>
      <c r="J267" s="82">
        <v>0.08</v>
      </c>
      <c r="K267" s="81">
        <v>0.105</v>
      </c>
      <c r="L267" s="80">
        <v>0.14000000000000001</v>
      </c>
    </row>
    <row r="268" spans="1:12" hidden="1" outlineLevel="1" x14ac:dyDescent="0.2">
      <c r="A268" s="90"/>
      <c r="B268" s="52" t="s">
        <v>130</v>
      </c>
      <c r="C268" s="52" t="s">
        <v>137</v>
      </c>
      <c r="D268" s="52" t="s">
        <v>140</v>
      </c>
      <c r="E268" s="79" t="s">
        <v>4</v>
      </c>
      <c r="F268" s="85">
        <v>12</v>
      </c>
      <c r="G268" s="86">
        <v>13.5</v>
      </c>
      <c r="H268" s="87">
        <v>14.5</v>
      </c>
      <c r="I268" s="88">
        <v>15</v>
      </c>
      <c r="J268" s="87">
        <v>16</v>
      </c>
      <c r="K268" s="86">
        <v>17</v>
      </c>
      <c r="L268" s="85">
        <v>18</v>
      </c>
    </row>
    <row r="269" spans="1:12" hidden="1" outlineLevel="1" x14ac:dyDescent="0.2">
      <c r="A269" s="90"/>
      <c r="B269" s="52" t="s">
        <v>130</v>
      </c>
      <c r="C269" s="52" t="s">
        <v>137</v>
      </c>
      <c r="D269" s="52" t="s">
        <v>140</v>
      </c>
      <c r="E269" s="79" t="s">
        <v>14</v>
      </c>
      <c r="F269" s="85">
        <v>7</v>
      </c>
      <c r="G269" s="86">
        <v>8</v>
      </c>
      <c r="H269" s="87">
        <v>8.5</v>
      </c>
      <c r="I269" s="88">
        <v>9</v>
      </c>
      <c r="J269" s="87">
        <v>9.5</v>
      </c>
      <c r="K269" s="86">
        <v>10</v>
      </c>
      <c r="L269" s="85">
        <v>11.5</v>
      </c>
    </row>
    <row r="270" spans="1:12" hidden="1" outlineLevel="1" x14ac:dyDescent="0.2">
      <c r="A270" s="90"/>
      <c r="B270" s="52" t="s">
        <v>130</v>
      </c>
      <c r="C270" s="52" t="s">
        <v>137</v>
      </c>
      <c r="D270" s="52" t="s">
        <v>140</v>
      </c>
      <c r="E270" s="79" t="s">
        <v>0</v>
      </c>
      <c r="F270" s="85">
        <v>15</v>
      </c>
      <c r="G270" s="86">
        <v>16.5</v>
      </c>
      <c r="H270" s="87">
        <v>18.5</v>
      </c>
      <c r="I270" s="88">
        <v>19</v>
      </c>
      <c r="J270" s="87">
        <v>19.5</v>
      </c>
      <c r="K270" s="86">
        <v>21.5</v>
      </c>
      <c r="L270" s="85">
        <v>23</v>
      </c>
    </row>
    <row r="271" spans="1:12" hidden="1" outlineLevel="1" x14ac:dyDescent="0.2">
      <c r="A271" s="90"/>
    </row>
    <row r="272" spans="1:12" collapsed="1" x14ac:dyDescent="0.2">
      <c r="A272" s="90">
        <v>522</v>
      </c>
      <c r="B272" s="52" t="s">
        <v>130</v>
      </c>
      <c r="C272" s="52" t="s">
        <v>138</v>
      </c>
      <c r="D272" s="52" t="s">
        <v>140</v>
      </c>
      <c r="E272" s="179" t="s">
        <v>230</v>
      </c>
    </row>
    <row r="273" spans="1:12" hidden="1" outlineLevel="1" x14ac:dyDescent="0.2">
      <c r="A273" s="90"/>
      <c r="B273" s="52" t="s">
        <v>130</v>
      </c>
      <c r="C273" s="52" t="s">
        <v>138</v>
      </c>
      <c r="D273" s="52" t="s">
        <v>140</v>
      </c>
      <c r="E273" s="79" t="s">
        <v>103</v>
      </c>
      <c r="F273" s="80">
        <v>0.49</v>
      </c>
      <c r="G273" s="81">
        <v>0.52</v>
      </c>
      <c r="H273" s="82">
        <v>0.55500000000000005</v>
      </c>
      <c r="I273" s="83">
        <v>0.56499999999999995</v>
      </c>
      <c r="J273" s="82">
        <v>0.57499999999999996</v>
      </c>
      <c r="K273" s="81">
        <v>0.60499999999999998</v>
      </c>
      <c r="L273" s="80">
        <v>0.625</v>
      </c>
    </row>
    <row r="274" spans="1:12" hidden="1" outlineLevel="1" x14ac:dyDescent="0.2">
      <c r="A274" s="90"/>
      <c r="B274" s="52" t="s">
        <v>130</v>
      </c>
      <c r="C274" s="52" t="s">
        <v>138</v>
      </c>
      <c r="D274" s="52" t="s">
        <v>140</v>
      </c>
      <c r="E274" s="79" t="s">
        <v>104</v>
      </c>
      <c r="F274" s="83"/>
      <c r="G274" s="83"/>
      <c r="H274" s="82">
        <v>1.4999999999999999E-2</v>
      </c>
      <c r="I274" s="83">
        <v>1.4999999999999999E-2</v>
      </c>
      <c r="J274" s="82">
        <v>0.02</v>
      </c>
      <c r="K274" s="81">
        <v>0.03</v>
      </c>
      <c r="L274" s="80">
        <v>0.04</v>
      </c>
    </row>
    <row r="275" spans="1:12" hidden="1" outlineLevel="1" x14ac:dyDescent="0.2">
      <c r="A275" s="90"/>
      <c r="B275" s="52" t="s">
        <v>130</v>
      </c>
      <c r="C275" s="52" t="s">
        <v>138</v>
      </c>
      <c r="D275" s="52" t="s">
        <v>140</v>
      </c>
      <c r="E275" s="79" t="s">
        <v>105</v>
      </c>
      <c r="F275" s="83"/>
      <c r="G275" s="83"/>
      <c r="H275" s="82">
        <v>0.08</v>
      </c>
      <c r="I275" s="83">
        <v>0.09</v>
      </c>
      <c r="J275" s="82">
        <v>0.1</v>
      </c>
      <c r="K275" s="81">
        <v>0.12</v>
      </c>
      <c r="L275" s="80">
        <v>0.13500000000000001</v>
      </c>
    </row>
    <row r="276" spans="1:12" hidden="1" outlineLevel="1" x14ac:dyDescent="0.2">
      <c r="A276" s="90"/>
      <c r="B276" s="52" t="s">
        <v>130</v>
      </c>
      <c r="C276" s="52" t="s">
        <v>138</v>
      </c>
      <c r="D276" s="52" t="s">
        <v>140</v>
      </c>
      <c r="E276" s="79" t="s">
        <v>106</v>
      </c>
      <c r="F276" s="83"/>
      <c r="G276" s="83"/>
      <c r="H276" s="83"/>
      <c r="I276" s="83">
        <v>6.5000000000000002E-2</v>
      </c>
      <c r="J276" s="83"/>
      <c r="K276" s="81">
        <v>8.5000000000000006E-2</v>
      </c>
      <c r="L276" s="80">
        <v>0.1</v>
      </c>
    </row>
    <row r="277" spans="1:12" hidden="1" outlineLevel="1" x14ac:dyDescent="0.2">
      <c r="A277" s="90"/>
      <c r="B277" s="52" t="s">
        <v>130</v>
      </c>
      <c r="C277" s="52" t="s">
        <v>138</v>
      </c>
      <c r="D277" s="52" t="s">
        <v>140</v>
      </c>
      <c r="E277" s="79" t="s">
        <v>107</v>
      </c>
      <c r="F277" s="83"/>
      <c r="G277" s="83"/>
      <c r="H277" s="83"/>
      <c r="I277" s="83">
        <v>1.4999999999999999E-2</v>
      </c>
      <c r="J277" s="83"/>
      <c r="K277" s="81">
        <v>3.5000000000000003E-2</v>
      </c>
      <c r="L277" s="80">
        <v>0.05</v>
      </c>
    </row>
    <row r="278" spans="1:12" hidden="1" outlineLevel="1" x14ac:dyDescent="0.2">
      <c r="A278" s="90"/>
      <c r="B278" s="52" t="s">
        <v>130</v>
      </c>
      <c r="C278" s="52" t="s">
        <v>138</v>
      </c>
      <c r="D278" s="52" t="s">
        <v>140</v>
      </c>
      <c r="E278" s="79" t="s">
        <v>108</v>
      </c>
      <c r="F278" s="83"/>
      <c r="G278" s="83"/>
      <c r="H278" s="83"/>
      <c r="I278" s="83">
        <v>5.5E-2</v>
      </c>
      <c r="J278" s="83"/>
      <c r="K278" s="81">
        <v>7.0000000000000007E-2</v>
      </c>
      <c r="L278" s="80">
        <v>0.08</v>
      </c>
    </row>
    <row r="279" spans="1:12" hidden="1" outlineLevel="1" x14ac:dyDescent="0.2">
      <c r="A279" s="90"/>
      <c r="B279" s="52" t="s">
        <v>130</v>
      </c>
      <c r="C279" s="52" t="s">
        <v>138</v>
      </c>
      <c r="D279" s="52" t="s">
        <v>140</v>
      </c>
      <c r="E279" s="79" t="s">
        <v>109</v>
      </c>
      <c r="F279" s="80">
        <v>4.4999999999999998E-2</v>
      </c>
      <c r="G279" s="81">
        <v>0.05</v>
      </c>
      <c r="H279" s="82">
        <v>0.06</v>
      </c>
      <c r="I279" s="83">
        <v>6.5000000000000002E-2</v>
      </c>
      <c r="J279" s="82">
        <v>7.0000000000000007E-2</v>
      </c>
      <c r="K279" s="83"/>
      <c r="L279" s="83"/>
    </row>
    <row r="280" spans="1:12" hidden="1" outlineLevel="1" x14ac:dyDescent="0.2">
      <c r="A280" s="90"/>
      <c r="B280" s="52" t="s">
        <v>130</v>
      </c>
      <c r="C280" s="52" t="s">
        <v>138</v>
      </c>
      <c r="D280" s="52" t="s">
        <v>140</v>
      </c>
      <c r="E280" s="84" t="s">
        <v>110</v>
      </c>
      <c r="F280" s="83"/>
      <c r="G280" s="83"/>
      <c r="H280" s="83"/>
      <c r="I280" s="83">
        <v>0.01</v>
      </c>
      <c r="J280" s="83"/>
      <c r="K280" s="81">
        <v>1.4999999999999999E-2</v>
      </c>
      <c r="L280" s="80">
        <v>0.02</v>
      </c>
    </row>
    <row r="281" spans="1:12" hidden="1" outlineLevel="1" x14ac:dyDescent="0.2">
      <c r="A281" s="90"/>
      <c r="B281" s="52" t="s">
        <v>130</v>
      </c>
      <c r="C281" s="52" t="s">
        <v>138</v>
      </c>
      <c r="D281" s="52" t="s">
        <v>140</v>
      </c>
      <c r="E281" s="79" t="s">
        <v>34</v>
      </c>
      <c r="F281" s="83"/>
      <c r="G281" s="83"/>
      <c r="H281" s="82">
        <v>5.5E-2</v>
      </c>
      <c r="I281" s="83">
        <v>0.06</v>
      </c>
      <c r="J281" s="82">
        <v>6.5000000000000002E-2</v>
      </c>
      <c r="K281" s="81">
        <v>0.08</v>
      </c>
      <c r="L281" s="80">
        <v>9.5000000000000001E-2</v>
      </c>
    </row>
    <row r="282" spans="1:12" hidden="1" outlineLevel="1" x14ac:dyDescent="0.2">
      <c r="A282" s="90"/>
      <c r="B282" s="52" t="s">
        <v>130</v>
      </c>
      <c r="C282" s="52" t="s">
        <v>138</v>
      </c>
      <c r="D282" s="52" t="s">
        <v>140</v>
      </c>
      <c r="E282" s="79" t="s">
        <v>4</v>
      </c>
      <c r="F282" s="85">
        <v>14</v>
      </c>
      <c r="G282" s="86">
        <v>15</v>
      </c>
      <c r="H282" s="87">
        <v>15.5</v>
      </c>
      <c r="I282" s="88">
        <v>16</v>
      </c>
      <c r="J282" s="87">
        <v>16.5</v>
      </c>
      <c r="K282" s="86">
        <v>17</v>
      </c>
      <c r="L282" s="85">
        <v>18</v>
      </c>
    </row>
    <row r="283" spans="1:12" hidden="1" outlineLevel="1" x14ac:dyDescent="0.2">
      <c r="A283" s="90"/>
      <c r="B283" s="52" t="s">
        <v>130</v>
      </c>
      <c r="C283" s="52" t="s">
        <v>138</v>
      </c>
      <c r="D283" s="52" t="s">
        <v>140</v>
      </c>
      <c r="E283" s="84" t="s">
        <v>14</v>
      </c>
      <c r="F283" s="85">
        <v>8</v>
      </c>
      <c r="G283" s="86">
        <v>8.5</v>
      </c>
      <c r="H283" s="87">
        <v>9.5</v>
      </c>
      <c r="I283" s="88">
        <v>9.5</v>
      </c>
      <c r="J283" s="87">
        <v>10</v>
      </c>
      <c r="K283" s="86">
        <v>10.5</v>
      </c>
      <c r="L283" s="85">
        <v>11</v>
      </c>
    </row>
    <row r="284" spans="1:12" hidden="1" outlineLevel="1" x14ac:dyDescent="0.2">
      <c r="A284" s="90"/>
      <c r="B284" s="52" t="s">
        <v>130</v>
      </c>
      <c r="C284" s="52" t="s">
        <v>138</v>
      </c>
      <c r="D284" s="52" t="s">
        <v>140</v>
      </c>
      <c r="E284" s="79" t="s">
        <v>0</v>
      </c>
      <c r="F284" s="85">
        <v>18.5</v>
      </c>
      <c r="G284" s="86">
        <v>19.5</v>
      </c>
      <c r="H284" s="87">
        <v>20</v>
      </c>
      <c r="I284" s="88">
        <v>20.5</v>
      </c>
      <c r="J284" s="87">
        <v>21</v>
      </c>
      <c r="K284" s="86">
        <v>22</v>
      </c>
      <c r="L284" s="85">
        <v>22.5</v>
      </c>
    </row>
    <row r="285" spans="1:12" hidden="1" outlineLevel="1" x14ac:dyDescent="0.2">
      <c r="A285" s="90"/>
    </row>
    <row r="286" spans="1:12" collapsed="1" x14ac:dyDescent="0.2">
      <c r="A286" s="90">
        <v>276</v>
      </c>
      <c r="B286" s="52" t="s">
        <v>130</v>
      </c>
      <c r="C286" s="52" t="s">
        <v>139</v>
      </c>
      <c r="D286" s="52" t="s">
        <v>140</v>
      </c>
      <c r="E286" s="179" t="s">
        <v>231</v>
      </c>
    </row>
    <row r="287" spans="1:12" hidden="1" outlineLevel="1" x14ac:dyDescent="0.2">
      <c r="A287" s="90"/>
      <c r="B287" s="52" t="s">
        <v>130</v>
      </c>
      <c r="C287" s="52" t="s">
        <v>139</v>
      </c>
      <c r="D287" s="52" t="s">
        <v>140</v>
      </c>
      <c r="E287" s="79" t="s">
        <v>103</v>
      </c>
      <c r="F287" s="80">
        <v>0.5</v>
      </c>
      <c r="G287" s="81">
        <v>0.53</v>
      </c>
      <c r="H287" s="82">
        <v>0.55500000000000005</v>
      </c>
      <c r="I287" s="83">
        <v>0.56499999999999995</v>
      </c>
      <c r="J287" s="82">
        <v>0.57499999999999996</v>
      </c>
      <c r="K287" s="81">
        <v>0.61</v>
      </c>
      <c r="L287" s="80">
        <v>0.63500000000000001</v>
      </c>
    </row>
    <row r="288" spans="1:12" hidden="1" outlineLevel="1" x14ac:dyDescent="0.2">
      <c r="A288" s="90"/>
      <c r="B288" s="52" t="s">
        <v>130</v>
      </c>
      <c r="C288" s="52" t="s">
        <v>139</v>
      </c>
      <c r="D288" s="52" t="s">
        <v>140</v>
      </c>
      <c r="E288" s="79" t="s">
        <v>104</v>
      </c>
      <c r="F288" s="83"/>
      <c r="G288" s="83"/>
      <c r="H288" s="82">
        <v>0.01</v>
      </c>
      <c r="I288" s="83">
        <v>1.4999999999999999E-2</v>
      </c>
      <c r="J288" s="82">
        <v>0.02</v>
      </c>
      <c r="K288" s="81">
        <v>0.03</v>
      </c>
      <c r="L288" s="80">
        <v>0.04</v>
      </c>
    </row>
    <row r="289" spans="1:12" hidden="1" outlineLevel="1" x14ac:dyDescent="0.2">
      <c r="A289" s="90"/>
      <c r="B289" s="52" t="s">
        <v>130</v>
      </c>
      <c r="C289" s="52" t="s">
        <v>139</v>
      </c>
      <c r="D289" s="52" t="s">
        <v>140</v>
      </c>
      <c r="E289" s="79" t="s">
        <v>105</v>
      </c>
      <c r="F289" s="83"/>
      <c r="G289" s="83"/>
      <c r="H289" s="82">
        <v>8.5000000000000006E-2</v>
      </c>
      <c r="I289" s="83">
        <v>0.09</v>
      </c>
      <c r="J289" s="82">
        <v>0.1</v>
      </c>
      <c r="K289" s="81">
        <v>0.115</v>
      </c>
      <c r="L289" s="80">
        <v>0.13</v>
      </c>
    </row>
    <row r="290" spans="1:12" hidden="1" outlineLevel="1" x14ac:dyDescent="0.2">
      <c r="A290" s="90"/>
      <c r="B290" s="52" t="s">
        <v>130</v>
      </c>
      <c r="C290" s="52" t="s">
        <v>139</v>
      </c>
      <c r="D290" s="52" t="s">
        <v>140</v>
      </c>
      <c r="E290" s="79" t="s">
        <v>106</v>
      </c>
      <c r="F290" s="83"/>
      <c r="G290" s="83"/>
      <c r="H290" s="83"/>
      <c r="I290" s="83">
        <v>0.06</v>
      </c>
      <c r="J290" s="83"/>
      <c r="K290" s="81">
        <v>0.08</v>
      </c>
      <c r="L290" s="80">
        <v>0.1</v>
      </c>
    </row>
    <row r="291" spans="1:12" hidden="1" outlineLevel="1" x14ac:dyDescent="0.2">
      <c r="A291" s="90"/>
      <c r="B291" s="52" t="s">
        <v>130</v>
      </c>
      <c r="C291" s="52" t="s">
        <v>139</v>
      </c>
      <c r="D291" s="52" t="s">
        <v>140</v>
      </c>
      <c r="E291" s="79" t="s">
        <v>107</v>
      </c>
      <c r="F291" s="83"/>
      <c r="G291" s="83"/>
      <c r="H291" s="83"/>
      <c r="I291" s="83">
        <v>1.4999999999999999E-2</v>
      </c>
      <c r="J291" s="83"/>
      <c r="K291" s="81">
        <v>0.03</v>
      </c>
      <c r="L291" s="80">
        <v>0.05</v>
      </c>
    </row>
    <row r="292" spans="1:12" hidden="1" outlineLevel="1" x14ac:dyDescent="0.2">
      <c r="A292" s="90"/>
      <c r="B292" s="52" t="s">
        <v>130</v>
      </c>
      <c r="C292" s="52" t="s">
        <v>139</v>
      </c>
      <c r="D292" s="52" t="s">
        <v>140</v>
      </c>
      <c r="E292" s="79" t="s">
        <v>108</v>
      </c>
      <c r="F292" s="83"/>
      <c r="G292" s="83"/>
      <c r="H292" s="83"/>
      <c r="I292" s="83">
        <v>0.05</v>
      </c>
      <c r="J292" s="83"/>
      <c r="K292" s="81">
        <v>6.5000000000000002E-2</v>
      </c>
      <c r="L292" s="80">
        <v>8.5000000000000006E-2</v>
      </c>
    </row>
    <row r="293" spans="1:12" hidden="1" outlineLevel="1" x14ac:dyDescent="0.2">
      <c r="A293" s="90"/>
      <c r="B293" s="52" t="s">
        <v>130</v>
      </c>
      <c r="C293" s="52" t="s">
        <v>139</v>
      </c>
      <c r="D293" s="52" t="s">
        <v>140</v>
      </c>
      <c r="E293" s="79" t="s">
        <v>109</v>
      </c>
      <c r="F293" s="80">
        <v>4.4999999999999998E-2</v>
      </c>
      <c r="G293" s="81">
        <v>5.5E-2</v>
      </c>
      <c r="H293" s="82">
        <v>6.5000000000000002E-2</v>
      </c>
      <c r="I293" s="83">
        <v>7.0000000000000007E-2</v>
      </c>
      <c r="J293" s="82">
        <v>7.4999999999999997E-2</v>
      </c>
      <c r="K293" s="83"/>
      <c r="L293" s="83"/>
    </row>
    <row r="294" spans="1:12" hidden="1" outlineLevel="1" x14ac:dyDescent="0.2">
      <c r="A294" s="90"/>
      <c r="B294" s="52" t="s">
        <v>130</v>
      </c>
      <c r="C294" s="52" t="s">
        <v>139</v>
      </c>
      <c r="D294" s="52" t="s">
        <v>140</v>
      </c>
      <c r="E294" s="84" t="s">
        <v>110</v>
      </c>
      <c r="F294" s="83"/>
      <c r="G294" s="83"/>
      <c r="H294" s="83"/>
      <c r="I294" s="83">
        <v>0.01</v>
      </c>
      <c r="J294" s="83"/>
      <c r="K294" s="81">
        <v>1.4999999999999999E-2</v>
      </c>
      <c r="L294" s="80">
        <v>0.02</v>
      </c>
    </row>
    <row r="295" spans="1:12" hidden="1" outlineLevel="1" x14ac:dyDescent="0.2">
      <c r="A295" s="90"/>
      <c r="B295" s="52" t="s">
        <v>130</v>
      </c>
      <c r="C295" s="52" t="s">
        <v>139</v>
      </c>
      <c r="D295" s="52" t="s">
        <v>140</v>
      </c>
      <c r="E295" s="79" t="s">
        <v>34</v>
      </c>
      <c r="F295" s="83"/>
      <c r="G295" s="83"/>
      <c r="H295" s="82">
        <v>0.05</v>
      </c>
      <c r="I295" s="83">
        <v>5.5E-2</v>
      </c>
      <c r="J295" s="82">
        <v>0.06</v>
      </c>
      <c r="K295" s="81">
        <v>7.0000000000000007E-2</v>
      </c>
      <c r="L295" s="80">
        <v>0.08</v>
      </c>
    </row>
    <row r="296" spans="1:12" hidden="1" outlineLevel="1" x14ac:dyDescent="0.2">
      <c r="A296" s="90"/>
      <c r="B296" s="52" t="s">
        <v>130</v>
      </c>
      <c r="C296" s="52" t="s">
        <v>139</v>
      </c>
      <c r="D296" s="52" t="s">
        <v>140</v>
      </c>
      <c r="E296" s="79" t="s">
        <v>4</v>
      </c>
      <c r="F296" s="85">
        <v>14</v>
      </c>
      <c r="G296" s="86">
        <v>15</v>
      </c>
      <c r="H296" s="87">
        <v>16</v>
      </c>
      <c r="I296" s="88">
        <v>16</v>
      </c>
      <c r="J296" s="87">
        <v>16.5</v>
      </c>
      <c r="K296" s="86">
        <v>17.5</v>
      </c>
      <c r="L296" s="85">
        <v>18.5</v>
      </c>
    </row>
    <row r="297" spans="1:12" hidden="1" outlineLevel="1" x14ac:dyDescent="0.2">
      <c r="A297" s="90"/>
      <c r="B297" s="52" t="s">
        <v>130</v>
      </c>
      <c r="C297" s="52" t="s">
        <v>139</v>
      </c>
      <c r="D297" s="52" t="s">
        <v>140</v>
      </c>
      <c r="E297" s="79" t="s">
        <v>14</v>
      </c>
      <c r="F297" s="85">
        <v>8.5</v>
      </c>
      <c r="G297" s="86">
        <v>9</v>
      </c>
      <c r="H297" s="87">
        <v>9.5</v>
      </c>
      <c r="I297" s="88">
        <v>10</v>
      </c>
      <c r="J297" s="87">
        <v>10</v>
      </c>
      <c r="K297" s="86">
        <v>11</v>
      </c>
      <c r="L297" s="85">
        <v>11.5</v>
      </c>
    </row>
    <row r="298" spans="1:12" hidden="1" outlineLevel="1" x14ac:dyDescent="0.2">
      <c r="A298" s="90"/>
      <c r="B298" s="52" t="s">
        <v>130</v>
      </c>
      <c r="C298" s="52" t="s">
        <v>139</v>
      </c>
      <c r="D298" s="52" t="s">
        <v>140</v>
      </c>
      <c r="E298" s="79" t="s">
        <v>0</v>
      </c>
      <c r="F298" s="85">
        <v>19</v>
      </c>
      <c r="G298" s="86">
        <v>19.5</v>
      </c>
      <c r="H298" s="87">
        <v>20.5</v>
      </c>
      <c r="I298" s="88">
        <v>21</v>
      </c>
      <c r="J298" s="87">
        <v>21.5</v>
      </c>
      <c r="K298" s="86">
        <v>22</v>
      </c>
      <c r="L298" s="85">
        <v>23</v>
      </c>
    </row>
    <row r="299" spans="1:12" hidden="1" outlineLevel="1" x14ac:dyDescent="0.2">
      <c r="A299" s="90"/>
    </row>
    <row r="300" spans="1:12" collapsed="1" x14ac:dyDescent="0.2">
      <c r="A300" s="90">
        <v>113</v>
      </c>
      <c r="B300" s="52" t="s">
        <v>131</v>
      </c>
      <c r="C300" s="52" t="s">
        <v>137</v>
      </c>
      <c r="D300" s="52" t="s">
        <v>140</v>
      </c>
      <c r="E300" s="179" t="s">
        <v>232</v>
      </c>
    </row>
    <row r="301" spans="1:12" hidden="1" outlineLevel="1" x14ac:dyDescent="0.2">
      <c r="A301" s="90"/>
      <c r="B301" s="52" t="s">
        <v>131</v>
      </c>
      <c r="C301" s="52" t="s">
        <v>137</v>
      </c>
      <c r="D301" s="52" t="s">
        <v>140</v>
      </c>
      <c r="E301" s="79" t="s">
        <v>103</v>
      </c>
      <c r="F301" s="80">
        <v>0.42499999999999999</v>
      </c>
      <c r="G301" s="81">
        <v>0.46</v>
      </c>
      <c r="H301" s="82">
        <v>0.49</v>
      </c>
      <c r="I301" s="83">
        <v>0.51</v>
      </c>
      <c r="J301" s="82">
        <v>0.54</v>
      </c>
      <c r="K301" s="81">
        <v>0.56999999999999995</v>
      </c>
      <c r="L301" s="80">
        <v>0.59499999999999997</v>
      </c>
    </row>
    <row r="302" spans="1:12" hidden="1" outlineLevel="1" x14ac:dyDescent="0.2">
      <c r="A302" s="90"/>
      <c r="B302" s="52" t="s">
        <v>131</v>
      </c>
      <c r="C302" s="52" t="s">
        <v>137</v>
      </c>
      <c r="D302" s="52" t="s">
        <v>140</v>
      </c>
      <c r="E302" s="79" t="s">
        <v>104</v>
      </c>
      <c r="F302" s="83"/>
      <c r="G302" s="83"/>
      <c r="H302" s="82">
        <v>1.4999999999999999E-2</v>
      </c>
      <c r="I302" s="83">
        <v>1.4999999999999999E-2</v>
      </c>
      <c r="J302" s="82">
        <v>2.5000000000000001E-2</v>
      </c>
      <c r="K302" s="81">
        <v>3.5000000000000003E-2</v>
      </c>
      <c r="L302" s="80">
        <v>4.4999999999999998E-2</v>
      </c>
    </row>
    <row r="303" spans="1:12" hidden="1" outlineLevel="1" x14ac:dyDescent="0.2">
      <c r="A303" s="90"/>
      <c r="B303" s="52" t="s">
        <v>131</v>
      </c>
      <c r="C303" s="52" t="s">
        <v>137</v>
      </c>
      <c r="D303" s="52" t="s">
        <v>140</v>
      </c>
      <c r="E303" s="79" t="s">
        <v>105</v>
      </c>
      <c r="F303" s="83"/>
      <c r="G303" s="83"/>
      <c r="H303" s="82">
        <v>8.5000000000000006E-2</v>
      </c>
      <c r="I303" s="83">
        <v>0.09</v>
      </c>
      <c r="J303" s="82">
        <v>0.1</v>
      </c>
      <c r="K303" s="81">
        <v>0.13</v>
      </c>
      <c r="L303" s="80">
        <v>0.15</v>
      </c>
    </row>
    <row r="304" spans="1:12" hidden="1" outlineLevel="1" x14ac:dyDescent="0.2">
      <c r="A304" s="90"/>
      <c r="B304" s="52" t="s">
        <v>131</v>
      </c>
      <c r="C304" s="52" t="s">
        <v>137</v>
      </c>
      <c r="D304" s="52" t="s">
        <v>140</v>
      </c>
      <c r="E304" s="79" t="s">
        <v>106</v>
      </c>
      <c r="F304" s="83"/>
      <c r="G304" s="83"/>
      <c r="H304" s="83"/>
      <c r="I304" s="83">
        <v>7.0000000000000007E-2</v>
      </c>
      <c r="J304" s="83"/>
      <c r="K304" s="81">
        <v>9.5000000000000001E-2</v>
      </c>
      <c r="L304" s="80">
        <v>0.115</v>
      </c>
    </row>
    <row r="305" spans="1:14" hidden="1" outlineLevel="1" x14ac:dyDescent="0.2">
      <c r="A305" s="90"/>
      <c r="B305" s="52" t="s">
        <v>131</v>
      </c>
      <c r="C305" s="52" t="s">
        <v>137</v>
      </c>
      <c r="D305" s="52" t="s">
        <v>140</v>
      </c>
      <c r="E305" s="79" t="s">
        <v>107</v>
      </c>
      <c r="F305" s="83"/>
      <c r="G305" s="83"/>
      <c r="H305" s="83"/>
      <c r="I305" s="83">
        <v>1.4999999999999999E-2</v>
      </c>
      <c r="J305" s="83"/>
      <c r="K305" s="81">
        <v>0.04</v>
      </c>
      <c r="L305" s="80">
        <v>6.5000000000000002E-2</v>
      </c>
    </row>
    <row r="306" spans="1:14" hidden="1" outlineLevel="1" x14ac:dyDescent="0.2">
      <c r="A306" s="90"/>
      <c r="B306" s="52" t="s">
        <v>131</v>
      </c>
      <c r="C306" s="52" t="s">
        <v>137</v>
      </c>
      <c r="D306" s="52" t="s">
        <v>140</v>
      </c>
      <c r="E306" s="79" t="s">
        <v>108</v>
      </c>
      <c r="F306" s="83"/>
      <c r="G306" s="83"/>
      <c r="H306" s="83"/>
      <c r="I306" s="83">
        <v>5.5E-2</v>
      </c>
      <c r="J306" s="83"/>
      <c r="K306" s="81">
        <v>7.4999999999999997E-2</v>
      </c>
      <c r="L306" s="80">
        <v>8.5000000000000006E-2</v>
      </c>
    </row>
    <row r="307" spans="1:14" hidden="1" outlineLevel="1" x14ac:dyDescent="0.2">
      <c r="A307" s="90"/>
      <c r="B307" s="52" t="s">
        <v>131</v>
      </c>
      <c r="C307" s="52" t="s">
        <v>137</v>
      </c>
      <c r="D307" s="52" t="s">
        <v>140</v>
      </c>
      <c r="E307" s="79" t="s">
        <v>109</v>
      </c>
      <c r="F307" s="80">
        <v>3.5000000000000003E-2</v>
      </c>
      <c r="G307" s="81">
        <v>0.04</v>
      </c>
      <c r="H307" s="82">
        <v>5.5E-2</v>
      </c>
      <c r="I307" s="83">
        <v>0.06</v>
      </c>
      <c r="J307" s="82">
        <v>7.0000000000000007E-2</v>
      </c>
      <c r="K307" s="83"/>
      <c r="L307" s="83"/>
    </row>
    <row r="308" spans="1:14" hidden="1" outlineLevel="1" x14ac:dyDescent="0.2">
      <c r="A308" s="90"/>
      <c r="B308" s="52" t="s">
        <v>131</v>
      </c>
      <c r="C308" s="52" t="s">
        <v>137</v>
      </c>
      <c r="D308" s="52" t="s">
        <v>140</v>
      </c>
      <c r="E308" s="79" t="s">
        <v>110</v>
      </c>
      <c r="F308" s="83"/>
      <c r="G308" s="83"/>
      <c r="H308" s="83"/>
      <c r="I308" s="83">
        <v>0.01</v>
      </c>
      <c r="J308" s="83"/>
      <c r="K308" s="81">
        <v>1.4999999999999999E-2</v>
      </c>
      <c r="L308" s="80">
        <v>0.02</v>
      </c>
    </row>
    <row r="309" spans="1:14" hidden="1" outlineLevel="1" x14ac:dyDescent="0.2">
      <c r="A309" s="90"/>
      <c r="B309" s="52" t="s">
        <v>131</v>
      </c>
      <c r="C309" s="52" t="s">
        <v>137</v>
      </c>
      <c r="D309" s="52" t="s">
        <v>140</v>
      </c>
      <c r="E309" s="79" t="s">
        <v>34</v>
      </c>
      <c r="F309" s="83"/>
      <c r="G309" s="83"/>
      <c r="H309" s="82">
        <v>0.08</v>
      </c>
      <c r="I309" s="83">
        <v>0.09</v>
      </c>
      <c r="J309" s="82">
        <v>9.5000000000000001E-2</v>
      </c>
      <c r="K309" s="81">
        <v>0.115</v>
      </c>
      <c r="L309" s="80">
        <v>0.155</v>
      </c>
    </row>
    <row r="310" spans="1:14" hidden="1" outlineLevel="1" x14ac:dyDescent="0.2">
      <c r="A310" s="90"/>
      <c r="B310" s="52" t="s">
        <v>131</v>
      </c>
      <c r="C310" s="52" t="s">
        <v>137</v>
      </c>
      <c r="D310" s="52" t="s">
        <v>140</v>
      </c>
      <c r="E310" s="79" t="s">
        <v>4</v>
      </c>
      <c r="F310" s="85">
        <v>12.5</v>
      </c>
      <c r="G310" s="86">
        <v>13.5</v>
      </c>
      <c r="H310" s="87">
        <v>15</v>
      </c>
      <c r="I310" s="88">
        <v>15.5</v>
      </c>
      <c r="J310" s="87">
        <v>16.5</v>
      </c>
      <c r="K310" s="86">
        <v>17.5</v>
      </c>
      <c r="L310" s="85">
        <v>19</v>
      </c>
    </row>
    <row r="311" spans="1:14" hidden="1" outlineLevel="1" x14ac:dyDescent="0.2">
      <c r="A311" s="90"/>
      <c r="B311" s="52" t="s">
        <v>131</v>
      </c>
      <c r="C311" s="52" t="s">
        <v>137</v>
      </c>
      <c r="D311" s="52" t="s">
        <v>140</v>
      </c>
      <c r="E311" s="84" t="s">
        <v>14</v>
      </c>
      <c r="F311" s="85">
        <v>6.5</v>
      </c>
      <c r="G311" s="86">
        <v>7.5</v>
      </c>
      <c r="H311" s="87">
        <v>8.5</v>
      </c>
      <c r="I311" s="88">
        <v>9</v>
      </c>
      <c r="J311" s="87">
        <v>9</v>
      </c>
      <c r="K311" s="86">
        <v>10</v>
      </c>
      <c r="L311" s="85">
        <v>11.5</v>
      </c>
    </row>
    <row r="312" spans="1:14" hidden="1" outlineLevel="1" x14ac:dyDescent="0.2">
      <c r="A312" s="90"/>
      <c r="B312" s="52" t="s">
        <v>131</v>
      </c>
      <c r="C312" s="52" t="s">
        <v>137</v>
      </c>
      <c r="D312" s="52" t="s">
        <v>140</v>
      </c>
      <c r="E312" s="79" t="s">
        <v>0</v>
      </c>
      <c r="F312" s="85">
        <v>18.5</v>
      </c>
      <c r="G312" s="86">
        <v>20</v>
      </c>
      <c r="H312" s="87">
        <v>22</v>
      </c>
      <c r="I312" s="88">
        <v>23</v>
      </c>
      <c r="J312" s="87">
        <v>23.5</v>
      </c>
      <c r="K312" s="86">
        <v>25</v>
      </c>
      <c r="L312" s="85">
        <v>27</v>
      </c>
    </row>
    <row r="313" spans="1:14" hidden="1" outlineLevel="1" x14ac:dyDescent="0.2">
      <c r="A313" s="90"/>
    </row>
    <row r="314" spans="1:14" collapsed="1" x14ac:dyDescent="0.2">
      <c r="A314" s="90">
        <v>180</v>
      </c>
      <c r="B314" s="52" t="s">
        <v>131</v>
      </c>
      <c r="C314" s="52" t="s">
        <v>138</v>
      </c>
      <c r="D314" s="52" t="s">
        <v>140</v>
      </c>
      <c r="E314" s="179" t="s">
        <v>233</v>
      </c>
    </row>
    <row r="315" spans="1:14" hidden="1" outlineLevel="1" x14ac:dyDescent="0.2">
      <c r="A315" s="90"/>
      <c r="B315" s="52" t="s">
        <v>131</v>
      </c>
      <c r="C315" s="52" t="s">
        <v>138</v>
      </c>
      <c r="D315" s="52" t="s">
        <v>140</v>
      </c>
      <c r="E315" s="79" t="s">
        <v>103</v>
      </c>
      <c r="F315" s="80">
        <v>0.46500000000000002</v>
      </c>
      <c r="G315" s="81">
        <v>0.495</v>
      </c>
      <c r="H315" s="82">
        <v>0.52500000000000002</v>
      </c>
      <c r="I315" s="83">
        <v>0.53500000000000003</v>
      </c>
      <c r="J315" s="82">
        <v>0.54500000000000004</v>
      </c>
      <c r="K315" s="81">
        <v>0.56999999999999995</v>
      </c>
      <c r="L315" s="80">
        <v>0.59499999999999997</v>
      </c>
    </row>
    <row r="316" spans="1:14" hidden="1" outlineLevel="1" x14ac:dyDescent="0.2">
      <c r="A316" s="90"/>
      <c r="B316" s="52" t="s">
        <v>131</v>
      </c>
      <c r="C316" s="52" t="s">
        <v>138</v>
      </c>
      <c r="D316" s="52" t="s">
        <v>140</v>
      </c>
      <c r="E316" s="79" t="s">
        <v>104</v>
      </c>
      <c r="F316" s="83"/>
      <c r="G316" s="83"/>
      <c r="H316" s="82">
        <v>1.4999999999999999E-2</v>
      </c>
      <c r="I316" s="83">
        <v>0.02</v>
      </c>
      <c r="J316" s="82">
        <v>2.5000000000000001E-2</v>
      </c>
      <c r="K316" s="81">
        <v>3.5000000000000003E-2</v>
      </c>
      <c r="L316" s="80">
        <v>4.4999999999999998E-2</v>
      </c>
    </row>
    <row r="317" spans="1:14" hidden="1" outlineLevel="1" x14ac:dyDescent="0.2">
      <c r="A317" s="90"/>
      <c r="B317" s="52" t="s">
        <v>131</v>
      </c>
      <c r="C317" s="52" t="s">
        <v>138</v>
      </c>
      <c r="D317" s="52" t="s">
        <v>140</v>
      </c>
      <c r="E317" s="79" t="s">
        <v>105</v>
      </c>
      <c r="F317" s="83"/>
      <c r="G317" s="83"/>
      <c r="H317" s="82">
        <v>9.5000000000000001E-2</v>
      </c>
      <c r="I317" s="83">
        <v>0.11</v>
      </c>
      <c r="J317" s="82">
        <v>0.115</v>
      </c>
      <c r="K317" s="81">
        <v>0.13500000000000001</v>
      </c>
      <c r="L317" s="80">
        <v>0.15</v>
      </c>
    </row>
    <row r="318" spans="1:14" hidden="1" outlineLevel="1" x14ac:dyDescent="0.2">
      <c r="A318" s="90"/>
      <c r="B318" s="52" t="s">
        <v>131</v>
      </c>
      <c r="C318" s="52" t="s">
        <v>138</v>
      </c>
      <c r="D318" s="52" t="s">
        <v>140</v>
      </c>
      <c r="E318" s="79" t="s">
        <v>106</v>
      </c>
      <c r="F318" s="83"/>
      <c r="G318" s="83"/>
      <c r="H318" s="83"/>
      <c r="I318" s="83">
        <v>6.5000000000000002E-2</v>
      </c>
      <c r="J318" s="83"/>
      <c r="K318" s="81">
        <v>8.5000000000000006E-2</v>
      </c>
      <c r="L318" s="80">
        <v>0.1</v>
      </c>
      <c r="N318" s="91"/>
    </row>
    <row r="319" spans="1:14" hidden="1" outlineLevel="1" x14ac:dyDescent="0.2">
      <c r="A319" s="90"/>
      <c r="B319" s="52" t="s">
        <v>131</v>
      </c>
      <c r="C319" s="52" t="s">
        <v>138</v>
      </c>
      <c r="D319" s="52" t="s">
        <v>140</v>
      </c>
      <c r="E319" s="79" t="s">
        <v>107</v>
      </c>
      <c r="F319" s="83"/>
      <c r="G319" s="83"/>
      <c r="H319" s="83"/>
      <c r="I319" s="83">
        <v>1.4999999999999999E-2</v>
      </c>
      <c r="J319" s="83"/>
      <c r="K319" s="81">
        <v>3.5000000000000003E-2</v>
      </c>
      <c r="L319" s="80">
        <v>0.05</v>
      </c>
    </row>
    <row r="320" spans="1:14" hidden="1" outlineLevel="1" x14ac:dyDescent="0.2">
      <c r="A320" s="90"/>
      <c r="B320" s="52" t="s">
        <v>131</v>
      </c>
      <c r="C320" s="52" t="s">
        <v>138</v>
      </c>
      <c r="D320" s="52" t="s">
        <v>140</v>
      </c>
      <c r="E320" s="79" t="s">
        <v>108</v>
      </c>
      <c r="F320" s="83"/>
      <c r="G320" s="83"/>
      <c r="H320" s="83"/>
      <c r="I320" s="83">
        <v>0.06</v>
      </c>
      <c r="J320" s="83"/>
      <c r="K320" s="81">
        <v>8.5000000000000006E-2</v>
      </c>
      <c r="L320" s="80">
        <v>0.105</v>
      </c>
    </row>
    <row r="321" spans="1:12" hidden="1" outlineLevel="1" x14ac:dyDescent="0.2">
      <c r="A321" s="90"/>
      <c r="B321" s="52" t="s">
        <v>131</v>
      </c>
      <c r="C321" s="52" t="s">
        <v>138</v>
      </c>
      <c r="D321" s="52" t="s">
        <v>140</v>
      </c>
      <c r="E321" s="79" t="s">
        <v>109</v>
      </c>
      <c r="F321" s="80">
        <v>0.04</v>
      </c>
      <c r="G321" s="81">
        <v>4.4999999999999998E-2</v>
      </c>
      <c r="H321" s="82">
        <v>5.5E-2</v>
      </c>
      <c r="I321" s="83">
        <v>0.06</v>
      </c>
      <c r="J321" s="82">
        <v>6.5000000000000002E-2</v>
      </c>
      <c r="K321" s="83"/>
      <c r="L321" s="83"/>
    </row>
    <row r="322" spans="1:12" hidden="1" outlineLevel="1" x14ac:dyDescent="0.2">
      <c r="A322" s="90"/>
      <c r="B322" s="52" t="s">
        <v>131</v>
      </c>
      <c r="C322" s="52" t="s">
        <v>138</v>
      </c>
      <c r="D322" s="52" t="s">
        <v>140</v>
      </c>
      <c r="E322" s="79" t="s">
        <v>110</v>
      </c>
      <c r="F322" s="83"/>
      <c r="G322" s="83"/>
      <c r="H322" s="83"/>
      <c r="I322" s="83">
        <v>0.01</v>
      </c>
      <c r="J322" s="83"/>
      <c r="K322" s="81">
        <v>1.4999999999999999E-2</v>
      </c>
      <c r="L322" s="80">
        <v>0.02</v>
      </c>
    </row>
    <row r="323" spans="1:12" hidden="1" outlineLevel="1" x14ac:dyDescent="0.2">
      <c r="A323" s="90"/>
      <c r="B323" s="52" t="s">
        <v>131</v>
      </c>
      <c r="C323" s="52" t="s">
        <v>138</v>
      </c>
      <c r="D323" s="52" t="s">
        <v>140</v>
      </c>
      <c r="E323" s="79" t="s">
        <v>34</v>
      </c>
      <c r="F323" s="83"/>
      <c r="G323" s="83"/>
      <c r="H323" s="82">
        <v>0.06</v>
      </c>
      <c r="I323" s="83">
        <v>7.0000000000000007E-2</v>
      </c>
      <c r="J323" s="82">
        <v>7.4999999999999997E-2</v>
      </c>
      <c r="K323" s="81">
        <v>0.09</v>
      </c>
      <c r="L323" s="80">
        <v>0.105</v>
      </c>
    </row>
    <row r="324" spans="1:12" hidden="1" outlineLevel="1" x14ac:dyDescent="0.2">
      <c r="A324" s="90"/>
      <c r="B324" s="52" t="s">
        <v>131</v>
      </c>
      <c r="C324" s="52" t="s">
        <v>138</v>
      </c>
      <c r="D324" s="52" t="s">
        <v>140</v>
      </c>
      <c r="E324" s="79" t="s">
        <v>4</v>
      </c>
      <c r="F324" s="85">
        <v>14</v>
      </c>
      <c r="G324" s="86">
        <v>14.5</v>
      </c>
      <c r="H324" s="87">
        <v>15.5</v>
      </c>
      <c r="I324" s="88">
        <v>16</v>
      </c>
      <c r="J324" s="87">
        <v>16.5</v>
      </c>
      <c r="K324" s="86">
        <v>17.5</v>
      </c>
      <c r="L324" s="85">
        <v>18.5</v>
      </c>
    </row>
    <row r="325" spans="1:12" hidden="1" outlineLevel="1" x14ac:dyDescent="0.2">
      <c r="A325" s="90"/>
      <c r="B325" s="52" t="s">
        <v>131</v>
      </c>
      <c r="C325" s="52" t="s">
        <v>138</v>
      </c>
      <c r="D325" s="52" t="s">
        <v>140</v>
      </c>
      <c r="E325" s="79" t="s">
        <v>14</v>
      </c>
      <c r="F325" s="85">
        <v>7.5</v>
      </c>
      <c r="G325" s="86">
        <v>8</v>
      </c>
      <c r="H325" s="87">
        <v>8.5</v>
      </c>
      <c r="I325" s="88">
        <v>9</v>
      </c>
      <c r="J325" s="87">
        <v>9</v>
      </c>
      <c r="K325" s="86">
        <v>10</v>
      </c>
      <c r="L325" s="85">
        <v>11</v>
      </c>
    </row>
    <row r="326" spans="1:12" hidden="1" outlineLevel="1" x14ac:dyDescent="0.2">
      <c r="A326" s="90"/>
      <c r="B326" s="52" t="s">
        <v>131</v>
      </c>
      <c r="C326" s="52" t="s">
        <v>138</v>
      </c>
      <c r="D326" s="52" t="s">
        <v>140</v>
      </c>
      <c r="E326" s="79" t="s">
        <v>0</v>
      </c>
      <c r="F326" s="85">
        <v>20.5</v>
      </c>
      <c r="G326" s="86">
        <v>21.5</v>
      </c>
      <c r="H326" s="87">
        <v>22.5</v>
      </c>
      <c r="I326" s="88">
        <v>22.5</v>
      </c>
      <c r="J326" s="87">
        <v>23</v>
      </c>
      <c r="K326" s="86">
        <v>24</v>
      </c>
      <c r="L326" s="85">
        <v>25</v>
      </c>
    </row>
    <row r="327" spans="1:12" hidden="1" outlineLevel="1" x14ac:dyDescent="0.2">
      <c r="A327" s="90"/>
    </row>
    <row r="328" spans="1:12" collapsed="1" x14ac:dyDescent="0.2">
      <c r="A328" s="90">
        <v>101</v>
      </c>
      <c r="B328" s="52" t="s">
        <v>131</v>
      </c>
      <c r="C328" s="52" t="s">
        <v>139</v>
      </c>
      <c r="D328" s="52" t="s">
        <v>140</v>
      </c>
      <c r="E328" s="179" t="s">
        <v>234</v>
      </c>
    </row>
    <row r="329" spans="1:12" hidden="1" outlineLevel="1" x14ac:dyDescent="0.2">
      <c r="A329" s="90"/>
      <c r="B329" s="52" t="s">
        <v>131</v>
      </c>
      <c r="C329" s="52" t="s">
        <v>139</v>
      </c>
      <c r="D329" s="52" t="s">
        <v>140</v>
      </c>
      <c r="E329" s="79" t="s">
        <v>103</v>
      </c>
      <c r="F329" s="80">
        <v>0.46</v>
      </c>
      <c r="G329" s="81">
        <v>0.48</v>
      </c>
      <c r="H329" s="82">
        <v>0.51</v>
      </c>
      <c r="I329" s="83">
        <v>0.52500000000000002</v>
      </c>
      <c r="J329" s="82">
        <v>0.54</v>
      </c>
      <c r="K329" s="81">
        <v>0.56999999999999995</v>
      </c>
      <c r="L329" s="80">
        <v>0.59</v>
      </c>
    </row>
    <row r="330" spans="1:12" hidden="1" outlineLevel="1" x14ac:dyDescent="0.2">
      <c r="A330" s="90"/>
      <c r="B330" s="52" t="s">
        <v>131</v>
      </c>
      <c r="C330" s="52" t="s">
        <v>139</v>
      </c>
      <c r="D330" s="52" t="s">
        <v>140</v>
      </c>
      <c r="E330" s="79" t="s">
        <v>104</v>
      </c>
      <c r="F330" s="83"/>
      <c r="G330" s="83"/>
      <c r="H330" s="82">
        <v>1.4999999999999999E-2</v>
      </c>
      <c r="I330" s="83">
        <v>0.02</v>
      </c>
      <c r="J330" s="82">
        <v>2.5000000000000001E-2</v>
      </c>
      <c r="K330" s="81">
        <v>3.5000000000000003E-2</v>
      </c>
      <c r="L330" s="80">
        <v>4.4999999999999998E-2</v>
      </c>
    </row>
    <row r="331" spans="1:12" hidden="1" outlineLevel="1" x14ac:dyDescent="0.2">
      <c r="A331" s="90"/>
      <c r="B331" s="52" t="s">
        <v>131</v>
      </c>
      <c r="C331" s="52" t="s">
        <v>139</v>
      </c>
      <c r="D331" s="52" t="s">
        <v>140</v>
      </c>
      <c r="E331" s="79" t="s">
        <v>105</v>
      </c>
      <c r="F331" s="83"/>
      <c r="G331" s="83"/>
      <c r="H331" s="82">
        <v>0.105</v>
      </c>
      <c r="I331" s="83">
        <v>0.11</v>
      </c>
      <c r="J331" s="82">
        <v>0.12</v>
      </c>
      <c r="K331" s="81">
        <v>0.14000000000000001</v>
      </c>
      <c r="L331" s="80">
        <v>0.15</v>
      </c>
    </row>
    <row r="332" spans="1:12" hidden="1" outlineLevel="1" x14ac:dyDescent="0.2">
      <c r="A332" s="90"/>
      <c r="B332" s="52" t="s">
        <v>131</v>
      </c>
      <c r="C332" s="52" t="s">
        <v>139</v>
      </c>
      <c r="D332" s="52" t="s">
        <v>140</v>
      </c>
      <c r="E332" s="79" t="s">
        <v>106</v>
      </c>
      <c r="F332" s="83"/>
      <c r="G332" s="83"/>
      <c r="H332" s="83"/>
      <c r="I332" s="83">
        <v>0.06</v>
      </c>
      <c r="J332" s="83"/>
      <c r="K332" s="81">
        <v>0.08</v>
      </c>
      <c r="L332" s="80">
        <v>0.1</v>
      </c>
    </row>
    <row r="333" spans="1:12" hidden="1" outlineLevel="1" x14ac:dyDescent="0.2">
      <c r="A333" s="90"/>
      <c r="B333" s="52" t="s">
        <v>131</v>
      </c>
      <c r="C333" s="52" t="s">
        <v>139</v>
      </c>
      <c r="D333" s="52" t="s">
        <v>140</v>
      </c>
      <c r="E333" s="79" t="s">
        <v>107</v>
      </c>
      <c r="F333" s="83"/>
      <c r="G333" s="83"/>
      <c r="H333" s="83"/>
      <c r="I333" s="83">
        <v>1.4999999999999999E-2</v>
      </c>
      <c r="J333" s="83"/>
      <c r="K333" s="81">
        <v>0.03</v>
      </c>
      <c r="L333" s="80">
        <v>5.5E-2</v>
      </c>
    </row>
    <row r="334" spans="1:12" hidden="1" outlineLevel="1" x14ac:dyDescent="0.2">
      <c r="A334" s="90"/>
      <c r="B334" s="52" t="s">
        <v>131</v>
      </c>
      <c r="C334" s="52" t="s">
        <v>139</v>
      </c>
      <c r="D334" s="52" t="s">
        <v>140</v>
      </c>
      <c r="E334" s="79" t="s">
        <v>108</v>
      </c>
      <c r="F334" s="83"/>
      <c r="G334" s="83"/>
      <c r="H334" s="83"/>
      <c r="I334" s="83">
        <v>5.5E-2</v>
      </c>
      <c r="J334" s="83"/>
      <c r="K334" s="81">
        <v>7.0000000000000007E-2</v>
      </c>
      <c r="L334" s="80">
        <v>0.09</v>
      </c>
    </row>
    <row r="335" spans="1:12" hidden="1" outlineLevel="1" x14ac:dyDescent="0.2">
      <c r="A335" s="90"/>
      <c r="B335" s="52" t="s">
        <v>131</v>
      </c>
      <c r="C335" s="52" t="s">
        <v>139</v>
      </c>
      <c r="D335" s="52" t="s">
        <v>140</v>
      </c>
      <c r="E335" s="79" t="s">
        <v>109</v>
      </c>
      <c r="F335" s="80">
        <v>3.5000000000000003E-2</v>
      </c>
      <c r="G335" s="81">
        <v>0.04</v>
      </c>
      <c r="H335" s="82">
        <v>5.5E-2</v>
      </c>
      <c r="I335" s="83">
        <v>0.06</v>
      </c>
      <c r="J335" s="82">
        <v>6.5000000000000002E-2</v>
      </c>
      <c r="K335" s="83"/>
      <c r="L335" s="83"/>
    </row>
    <row r="336" spans="1:12" hidden="1" outlineLevel="1" x14ac:dyDescent="0.2">
      <c r="A336" s="90"/>
      <c r="B336" s="52" t="s">
        <v>131</v>
      </c>
      <c r="C336" s="52" t="s">
        <v>139</v>
      </c>
      <c r="D336" s="52" t="s">
        <v>140</v>
      </c>
      <c r="E336" s="79" t="s">
        <v>110</v>
      </c>
      <c r="F336" s="83"/>
      <c r="G336" s="83"/>
      <c r="H336" s="83"/>
      <c r="I336" s="83">
        <v>0.01</v>
      </c>
      <c r="J336" s="83"/>
      <c r="K336" s="81">
        <v>1.4999999999999999E-2</v>
      </c>
      <c r="L336" s="80">
        <v>0.02</v>
      </c>
    </row>
    <row r="337" spans="1:12" hidden="1" outlineLevel="1" x14ac:dyDescent="0.2">
      <c r="A337" s="90"/>
      <c r="B337" s="52" t="s">
        <v>131</v>
      </c>
      <c r="C337" s="52" t="s">
        <v>139</v>
      </c>
      <c r="D337" s="52" t="s">
        <v>140</v>
      </c>
      <c r="E337" s="79" t="s">
        <v>34</v>
      </c>
      <c r="F337" s="83"/>
      <c r="G337" s="83"/>
      <c r="H337" s="82">
        <v>5.5E-2</v>
      </c>
      <c r="I337" s="83">
        <v>0.06</v>
      </c>
      <c r="J337" s="82">
        <v>6.5000000000000002E-2</v>
      </c>
      <c r="K337" s="81">
        <v>7.4999999999999997E-2</v>
      </c>
      <c r="L337" s="80">
        <v>9.5000000000000001E-2</v>
      </c>
    </row>
    <row r="338" spans="1:12" hidden="1" outlineLevel="1" x14ac:dyDescent="0.2">
      <c r="A338" s="90"/>
      <c r="B338" s="52" t="s">
        <v>131</v>
      </c>
      <c r="C338" s="52" t="s">
        <v>139</v>
      </c>
      <c r="D338" s="52" t="s">
        <v>140</v>
      </c>
      <c r="E338" s="79" t="s">
        <v>4</v>
      </c>
      <c r="F338" s="85">
        <v>14</v>
      </c>
      <c r="G338" s="86">
        <v>15</v>
      </c>
      <c r="H338" s="87">
        <v>16</v>
      </c>
      <c r="I338" s="88">
        <v>16.5</v>
      </c>
      <c r="J338" s="87">
        <v>16.5</v>
      </c>
      <c r="K338" s="86">
        <v>17.5</v>
      </c>
      <c r="L338" s="85">
        <v>18</v>
      </c>
    </row>
    <row r="339" spans="1:12" hidden="1" outlineLevel="1" x14ac:dyDescent="0.2">
      <c r="A339" s="90"/>
      <c r="B339" s="52" t="s">
        <v>131</v>
      </c>
      <c r="C339" s="52" t="s">
        <v>139</v>
      </c>
      <c r="D339" s="52" t="s">
        <v>140</v>
      </c>
      <c r="E339" s="79" t="s">
        <v>14</v>
      </c>
      <c r="F339" s="85">
        <v>8</v>
      </c>
      <c r="G339" s="86">
        <v>8.5</v>
      </c>
      <c r="H339" s="87">
        <v>9</v>
      </c>
      <c r="I339" s="88">
        <v>9</v>
      </c>
      <c r="J339" s="87">
        <v>9.5</v>
      </c>
      <c r="K339" s="86">
        <v>10</v>
      </c>
      <c r="L339" s="85">
        <v>10.5</v>
      </c>
    </row>
    <row r="340" spans="1:12" hidden="1" outlineLevel="1" x14ac:dyDescent="0.2">
      <c r="A340" s="90"/>
      <c r="B340" s="52" t="s">
        <v>131</v>
      </c>
      <c r="C340" s="52" t="s">
        <v>139</v>
      </c>
      <c r="D340" s="52" t="s">
        <v>140</v>
      </c>
      <c r="E340" s="79" t="s">
        <v>0</v>
      </c>
      <c r="F340" s="85">
        <v>21</v>
      </c>
      <c r="G340" s="86">
        <v>22</v>
      </c>
      <c r="H340" s="87">
        <v>22.5</v>
      </c>
      <c r="I340" s="88">
        <v>23</v>
      </c>
      <c r="J340" s="87">
        <v>23.5</v>
      </c>
      <c r="K340" s="86">
        <v>24.5</v>
      </c>
      <c r="L340" s="85">
        <v>25.5</v>
      </c>
    </row>
    <row r="341" spans="1:12" hidden="1" outlineLevel="1" x14ac:dyDescent="0.2">
      <c r="A341" s="90"/>
    </row>
    <row r="342" spans="1:12" collapsed="1" x14ac:dyDescent="0.2">
      <c r="A342" s="90">
        <v>203</v>
      </c>
      <c r="B342" s="52" t="s">
        <v>130</v>
      </c>
      <c r="C342" s="52" t="s">
        <v>137</v>
      </c>
      <c r="D342" s="52" t="s">
        <v>141</v>
      </c>
      <c r="E342" s="179" t="s">
        <v>235</v>
      </c>
    </row>
    <row r="343" spans="1:12" hidden="1" outlineLevel="1" x14ac:dyDescent="0.2">
      <c r="A343" s="90"/>
      <c r="B343" s="52" t="s">
        <v>130</v>
      </c>
      <c r="C343" s="52" t="s">
        <v>137</v>
      </c>
      <c r="D343" s="52" t="s">
        <v>141</v>
      </c>
      <c r="E343" s="79" t="s">
        <v>103</v>
      </c>
      <c r="F343" s="80">
        <v>0.44</v>
      </c>
      <c r="G343" s="81">
        <v>0.47</v>
      </c>
      <c r="H343" s="82">
        <v>0.505</v>
      </c>
      <c r="I343" s="83">
        <v>0.52</v>
      </c>
      <c r="J343" s="82">
        <v>0.53</v>
      </c>
      <c r="K343" s="81">
        <v>0.56000000000000005</v>
      </c>
      <c r="L343" s="80">
        <v>0.59499999999999997</v>
      </c>
    </row>
    <row r="344" spans="1:12" hidden="1" outlineLevel="1" x14ac:dyDescent="0.2">
      <c r="A344" s="90"/>
      <c r="B344" s="52" t="s">
        <v>130</v>
      </c>
      <c r="C344" s="52" t="s">
        <v>137</v>
      </c>
      <c r="D344" s="52" t="s">
        <v>141</v>
      </c>
      <c r="E344" s="79" t="s">
        <v>104</v>
      </c>
      <c r="F344" s="83"/>
      <c r="G344" s="83"/>
      <c r="H344" s="82">
        <v>1.4999999999999999E-2</v>
      </c>
      <c r="I344" s="83">
        <v>0.02</v>
      </c>
      <c r="J344" s="82">
        <v>2.5000000000000001E-2</v>
      </c>
      <c r="K344" s="81">
        <v>0.04</v>
      </c>
      <c r="L344" s="80">
        <v>5.5E-2</v>
      </c>
    </row>
    <row r="345" spans="1:12" hidden="1" outlineLevel="1" x14ac:dyDescent="0.2">
      <c r="A345" s="90"/>
      <c r="B345" s="52" t="s">
        <v>130</v>
      </c>
      <c r="C345" s="52" t="s">
        <v>137</v>
      </c>
      <c r="D345" s="52" t="s">
        <v>141</v>
      </c>
      <c r="E345" s="79" t="s">
        <v>105</v>
      </c>
      <c r="F345" s="83"/>
      <c r="G345" s="83"/>
      <c r="H345" s="82">
        <v>0.09</v>
      </c>
      <c r="I345" s="83">
        <v>0.1</v>
      </c>
      <c r="J345" s="82">
        <v>0.105</v>
      </c>
      <c r="K345" s="81">
        <v>0.13</v>
      </c>
      <c r="L345" s="80">
        <v>0.15</v>
      </c>
    </row>
    <row r="346" spans="1:12" hidden="1" outlineLevel="1" x14ac:dyDescent="0.2">
      <c r="A346" s="90"/>
      <c r="B346" s="52" t="s">
        <v>130</v>
      </c>
      <c r="C346" s="52" t="s">
        <v>137</v>
      </c>
      <c r="D346" s="52" t="s">
        <v>141</v>
      </c>
      <c r="E346" s="79" t="s">
        <v>106</v>
      </c>
      <c r="F346" s="83"/>
      <c r="G346" s="83"/>
      <c r="H346" s="83"/>
      <c r="I346" s="83">
        <v>7.0000000000000007E-2</v>
      </c>
      <c r="J346" s="83"/>
      <c r="K346" s="81">
        <v>0.105</v>
      </c>
      <c r="L346" s="80">
        <v>0.12</v>
      </c>
    </row>
    <row r="347" spans="1:12" hidden="1" outlineLevel="1" x14ac:dyDescent="0.2">
      <c r="A347" s="90"/>
      <c r="B347" s="52" t="s">
        <v>130</v>
      </c>
      <c r="C347" s="52" t="s">
        <v>137</v>
      </c>
      <c r="D347" s="52" t="s">
        <v>141</v>
      </c>
      <c r="E347" s="79" t="s">
        <v>107</v>
      </c>
      <c r="F347" s="83"/>
      <c r="G347" s="83"/>
      <c r="H347" s="83"/>
      <c r="I347" s="83">
        <v>0.02</v>
      </c>
      <c r="J347" s="83"/>
      <c r="K347" s="81">
        <v>3.5000000000000003E-2</v>
      </c>
      <c r="L347" s="80">
        <v>0.05</v>
      </c>
    </row>
    <row r="348" spans="1:12" hidden="1" outlineLevel="1" x14ac:dyDescent="0.2">
      <c r="A348" s="90"/>
      <c r="B348" s="52" t="s">
        <v>130</v>
      </c>
      <c r="C348" s="52" t="s">
        <v>137</v>
      </c>
      <c r="D348" s="52" t="s">
        <v>141</v>
      </c>
      <c r="E348" s="79" t="s">
        <v>108</v>
      </c>
      <c r="F348" s="83"/>
      <c r="G348" s="83"/>
      <c r="H348" s="83"/>
      <c r="I348" s="83">
        <v>5.5E-2</v>
      </c>
      <c r="J348" s="83"/>
      <c r="K348" s="81">
        <v>7.4999999999999997E-2</v>
      </c>
      <c r="L348" s="80">
        <v>8.5000000000000006E-2</v>
      </c>
    </row>
    <row r="349" spans="1:12" hidden="1" outlineLevel="1" x14ac:dyDescent="0.2">
      <c r="A349" s="90"/>
      <c r="B349" s="52" t="s">
        <v>130</v>
      </c>
      <c r="C349" s="52" t="s">
        <v>137</v>
      </c>
      <c r="D349" s="52" t="s">
        <v>141</v>
      </c>
      <c r="E349" s="79" t="s">
        <v>109</v>
      </c>
      <c r="F349" s="80">
        <v>3.5000000000000003E-2</v>
      </c>
      <c r="G349" s="81">
        <v>4.4999999999999998E-2</v>
      </c>
      <c r="H349" s="82">
        <v>5.5E-2</v>
      </c>
      <c r="I349" s="83">
        <v>0.06</v>
      </c>
      <c r="J349" s="82">
        <v>6.5000000000000002E-2</v>
      </c>
      <c r="K349" s="83"/>
      <c r="L349" s="83"/>
    </row>
    <row r="350" spans="1:12" hidden="1" outlineLevel="1" x14ac:dyDescent="0.2">
      <c r="A350" s="90"/>
      <c r="B350" s="52" t="s">
        <v>130</v>
      </c>
      <c r="C350" s="52" t="s">
        <v>137</v>
      </c>
      <c r="D350" s="52" t="s">
        <v>141</v>
      </c>
      <c r="E350" s="79" t="s">
        <v>110</v>
      </c>
      <c r="F350" s="83"/>
      <c r="G350" s="83"/>
      <c r="H350" s="83"/>
      <c r="I350" s="83">
        <v>0.01</v>
      </c>
      <c r="J350" s="83"/>
      <c r="K350" s="81">
        <v>1.4999999999999999E-2</v>
      </c>
      <c r="L350" s="80">
        <v>0.02</v>
      </c>
    </row>
    <row r="351" spans="1:12" hidden="1" outlineLevel="1" x14ac:dyDescent="0.2">
      <c r="A351" s="90"/>
      <c r="B351" s="52" t="s">
        <v>130</v>
      </c>
      <c r="C351" s="52" t="s">
        <v>137</v>
      </c>
      <c r="D351" s="52" t="s">
        <v>141</v>
      </c>
      <c r="E351" s="79" t="s">
        <v>34</v>
      </c>
      <c r="F351" s="83"/>
      <c r="G351" s="83"/>
      <c r="H351" s="82">
        <v>7.0000000000000007E-2</v>
      </c>
      <c r="I351" s="83">
        <v>7.4999999999999997E-2</v>
      </c>
      <c r="J351" s="82">
        <v>0.08</v>
      </c>
      <c r="K351" s="81">
        <v>0.1</v>
      </c>
      <c r="L351" s="80">
        <v>0.115</v>
      </c>
    </row>
    <row r="352" spans="1:12" hidden="1" outlineLevel="1" x14ac:dyDescent="0.2">
      <c r="A352" s="90"/>
      <c r="B352" s="52" t="s">
        <v>130</v>
      </c>
      <c r="C352" s="52" t="s">
        <v>137</v>
      </c>
      <c r="D352" s="52" t="s">
        <v>141</v>
      </c>
      <c r="E352" s="79" t="s">
        <v>4</v>
      </c>
      <c r="F352" s="85">
        <v>12</v>
      </c>
      <c r="G352" s="86">
        <v>12.5</v>
      </c>
      <c r="H352" s="87">
        <v>14</v>
      </c>
      <c r="I352" s="88">
        <v>14.5</v>
      </c>
      <c r="J352" s="87">
        <v>15</v>
      </c>
      <c r="K352" s="86">
        <v>16.5</v>
      </c>
      <c r="L352" s="85">
        <v>17.5</v>
      </c>
    </row>
    <row r="353" spans="1:12" hidden="1" outlineLevel="1" x14ac:dyDescent="0.2">
      <c r="A353" s="90"/>
      <c r="B353" s="52" t="s">
        <v>130</v>
      </c>
      <c r="C353" s="52" t="s">
        <v>137</v>
      </c>
      <c r="D353" s="52" t="s">
        <v>141</v>
      </c>
      <c r="E353" s="79" t="s">
        <v>14</v>
      </c>
      <c r="F353" s="85">
        <v>6.5</v>
      </c>
      <c r="G353" s="86">
        <v>7</v>
      </c>
      <c r="H353" s="87">
        <v>8</v>
      </c>
      <c r="I353" s="88">
        <v>8</v>
      </c>
      <c r="J353" s="87">
        <v>8.5</v>
      </c>
      <c r="K353" s="86">
        <v>9.5</v>
      </c>
      <c r="L353" s="85">
        <v>10</v>
      </c>
    </row>
    <row r="354" spans="1:12" hidden="1" outlineLevel="1" x14ac:dyDescent="0.2">
      <c r="A354" s="90"/>
      <c r="B354" s="52" t="s">
        <v>130</v>
      </c>
      <c r="C354" s="52" t="s">
        <v>137</v>
      </c>
      <c r="D354" s="52" t="s">
        <v>141</v>
      </c>
      <c r="E354" s="79" t="s">
        <v>0</v>
      </c>
      <c r="F354" s="85">
        <v>16</v>
      </c>
      <c r="G354" s="86">
        <v>17.5</v>
      </c>
      <c r="H354" s="87">
        <v>19</v>
      </c>
      <c r="I354" s="88">
        <v>19.5</v>
      </c>
      <c r="J354" s="87">
        <v>20</v>
      </c>
      <c r="K354" s="86">
        <v>21.5</v>
      </c>
      <c r="L354" s="85">
        <v>22.5</v>
      </c>
    </row>
    <row r="355" spans="1:12" hidden="1" outlineLevel="1" x14ac:dyDescent="0.2">
      <c r="A355" s="90"/>
    </row>
    <row r="356" spans="1:12" collapsed="1" x14ac:dyDescent="0.2">
      <c r="A356" s="90">
        <v>269</v>
      </c>
      <c r="B356" s="52" t="s">
        <v>130</v>
      </c>
      <c r="C356" s="52" t="s">
        <v>138</v>
      </c>
      <c r="D356" s="52" t="s">
        <v>141</v>
      </c>
      <c r="E356" s="179" t="s">
        <v>236</v>
      </c>
    </row>
    <row r="357" spans="1:12" hidden="1" outlineLevel="1" x14ac:dyDescent="0.2">
      <c r="A357" s="90"/>
      <c r="B357" s="52" t="s">
        <v>130</v>
      </c>
      <c r="C357" s="52" t="s">
        <v>138</v>
      </c>
      <c r="D357" s="52" t="s">
        <v>141</v>
      </c>
      <c r="E357" s="79" t="s">
        <v>103</v>
      </c>
      <c r="F357" s="80">
        <v>0.46500000000000002</v>
      </c>
      <c r="G357" s="81">
        <v>0.495</v>
      </c>
      <c r="H357" s="82">
        <v>0.51500000000000001</v>
      </c>
      <c r="I357" s="83">
        <v>0.53500000000000003</v>
      </c>
      <c r="J357" s="82">
        <v>0.54500000000000004</v>
      </c>
      <c r="K357" s="81">
        <v>0.57999999999999996</v>
      </c>
      <c r="L357" s="80">
        <v>0.61</v>
      </c>
    </row>
    <row r="358" spans="1:12" hidden="1" outlineLevel="1" x14ac:dyDescent="0.2">
      <c r="A358" s="90"/>
      <c r="B358" s="52" t="s">
        <v>130</v>
      </c>
      <c r="C358" s="52" t="s">
        <v>138</v>
      </c>
      <c r="D358" s="52" t="s">
        <v>141</v>
      </c>
      <c r="E358" s="79" t="s">
        <v>104</v>
      </c>
      <c r="F358" s="83"/>
      <c r="G358" s="83"/>
      <c r="H358" s="82">
        <v>1.4999999999999999E-2</v>
      </c>
      <c r="I358" s="83">
        <v>0.02</v>
      </c>
      <c r="J358" s="82">
        <v>2.5000000000000001E-2</v>
      </c>
      <c r="K358" s="81">
        <v>3.5000000000000003E-2</v>
      </c>
      <c r="L358" s="80">
        <v>4.4999999999999998E-2</v>
      </c>
    </row>
    <row r="359" spans="1:12" hidden="1" outlineLevel="1" x14ac:dyDescent="0.2">
      <c r="A359" s="90"/>
      <c r="B359" s="52" t="s">
        <v>130</v>
      </c>
      <c r="C359" s="52" t="s">
        <v>138</v>
      </c>
      <c r="D359" s="52" t="s">
        <v>141</v>
      </c>
      <c r="E359" s="79" t="s">
        <v>105</v>
      </c>
      <c r="F359" s="83"/>
      <c r="G359" s="83"/>
      <c r="H359" s="82">
        <v>9.5000000000000001E-2</v>
      </c>
      <c r="I359" s="83">
        <v>0.105</v>
      </c>
      <c r="J359" s="82">
        <v>0.115</v>
      </c>
      <c r="K359" s="81">
        <v>0.13500000000000001</v>
      </c>
      <c r="L359" s="80">
        <v>0.15</v>
      </c>
    </row>
    <row r="360" spans="1:12" hidden="1" outlineLevel="1" x14ac:dyDescent="0.2">
      <c r="A360" s="90"/>
      <c r="B360" s="52" t="s">
        <v>130</v>
      </c>
      <c r="C360" s="52" t="s">
        <v>138</v>
      </c>
      <c r="D360" s="52" t="s">
        <v>141</v>
      </c>
      <c r="E360" s="79" t="s">
        <v>106</v>
      </c>
      <c r="F360" s="83"/>
      <c r="G360" s="83"/>
      <c r="H360" s="83"/>
      <c r="I360" s="83">
        <v>0.06</v>
      </c>
      <c r="J360" s="83"/>
      <c r="K360" s="81">
        <v>8.5000000000000006E-2</v>
      </c>
      <c r="L360" s="80">
        <v>0.105</v>
      </c>
    </row>
    <row r="361" spans="1:12" hidden="1" outlineLevel="1" x14ac:dyDescent="0.2">
      <c r="A361" s="90"/>
      <c r="B361" s="52" t="s">
        <v>130</v>
      </c>
      <c r="C361" s="52" t="s">
        <v>138</v>
      </c>
      <c r="D361" s="52" t="s">
        <v>141</v>
      </c>
      <c r="E361" s="79" t="s">
        <v>107</v>
      </c>
      <c r="F361" s="83"/>
      <c r="G361" s="83"/>
      <c r="H361" s="83"/>
      <c r="I361" s="83">
        <v>0.02</v>
      </c>
      <c r="J361" s="83"/>
      <c r="K361" s="81">
        <v>0.03</v>
      </c>
      <c r="L361" s="80">
        <v>0.04</v>
      </c>
    </row>
    <row r="362" spans="1:12" hidden="1" outlineLevel="1" x14ac:dyDescent="0.2">
      <c r="A362" s="90"/>
      <c r="B362" s="52" t="s">
        <v>130</v>
      </c>
      <c r="C362" s="52" t="s">
        <v>138</v>
      </c>
      <c r="D362" s="52" t="s">
        <v>141</v>
      </c>
      <c r="E362" s="79" t="s">
        <v>108</v>
      </c>
      <c r="F362" s="83"/>
      <c r="G362" s="83"/>
      <c r="H362" s="83"/>
      <c r="I362" s="83">
        <v>5.5E-2</v>
      </c>
      <c r="J362" s="83"/>
      <c r="K362" s="81">
        <v>7.4999999999999997E-2</v>
      </c>
      <c r="L362" s="80">
        <v>9.5000000000000001E-2</v>
      </c>
    </row>
    <row r="363" spans="1:12" hidden="1" outlineLevel="1" x14ac:dyDescent="0.2">
      <c r="A363" s="90"/>
      <c r="B363" s="52" t="s">
        <v>130</v>
      </c>
      <c r="C363" s="52" t="s">
        <v>138</v>
      </c>
      <c r="D363" s="52" t="s">
        <v>141</v>
      </c>
      <c r="E363" s="79" t="s">
        <v>109</v>
      </c>
      <c r="F363" s="80">
        <v>0.04</v>
      </c>
      <c r="G363" s="81">
        <v>4.4999999999999998E-2</v>
      </c>
      <c r="H363" s="82">
        <v>5.5E-2</v>
      </c>
      <c r="I363" s="83">
        <v>0.06</v>
      </c>
      <c r="J363" s="82">
        <v>6.5000000000000002E-2</v>
      </c>
      <c r="K363" s="83"/>
      <c r="L363" s="83"/>
    </row>
    <row r="364" spans="1:12" hidden="1" outlineLevel="1" x14ac:dyDescent="0.2">
      <c r="A364" s="90"/>
      <c r="B364" s="52" t="s">
        <v>130</v>
      </c>
      <c r="C364" s="52" t="s">
        <v>138</v>
      </c>
      <c r="D364" s="52" t="s">
        <v>141</v>
      </c>
      <c r="E364" s="84" t="s">
        <v>110</v>
      </c>
      <c r="F364" s="83"/>
      <c r="G364" s="83"/>
      <c r="H364" s="83"/>
      <c r="I364" s="83">
        <v>0.01</v>
      </c>
      <c r="J364" s="83"/>
      <c r="K364" s="81">
        <v>1.4999999999999999E-2</v>
      </c>
      <c r="L364" s="80">
        <v>0.02</v>
      </c>
    </row>
    <row r="365" spans="1:12" hidden="1" outlineLevel="1" x14ac:dyDescent="0.2">
      <c r="A365" s="90"/>
      <c r="B365" s="52" t="s">
        <v>130</v>
      </c>
      <c r="C365" s="52" t="s">
        <v>138</v>
      </c>
      <c r="D365" s="52" t="s">
        <v>141</v>
      </c>
      <c r="E365" s="79" t="s">
        <v>34</v>
      </c>
      <c r="F365" s="83"/>
      <c r="G365" s="83"/>
      <c r="H365" s="82">
        <v>0.06</v>
      </c>
      <c r="I365" s="83">
        <v>6.5000000000000002E-2</v>
      </c>
      <c r="J365" s="82">
        <v>7.0000000000000007E-2</v>
      </c>
      <c r="K365" s="81">
        <v>0.09</v>
      </c>
      <c r="L365" s="80">
        <v>0.1</v>
      </c>
    </row>
    <row r="366" spans="1:12" hidden="1" outlineLevel="1" x14ac:dyDescent="0.2">
      <c r="A366" s="90"/>
      <c r="B366" s="52" t="s">
        <v>130</v>
      </c>
      <c r="C366" s="52" t="s">
        <v>138</v>
      </c>
      <c r="D366" s="52" t="s">
        <v>141</v>
      </c>
      <c r="E366" s="79" t="s">
        <v>4</v>
      </c>
      <c r="F366" s="85">
        <v>12.5</v>
      </c>
      <c r="G366" s="86">
        <v>13</v>
      </c>
      <c r="H366" s="87">
        <v>14</v>
      </c>
      <c r="I366" s="88">
        <v>14.5</v>
      </c>
      <c r="J366" s="87">
        <v>15</v>
      </c>
      <c r="K366" s="86">
        <v>16.5</v>
      </c>
      <c r="L366" s="85">
        <v>17</v>
      </c>
    </row>
    <row r="367" spans="1:12" hidden="1" outlineLevel="1" x14ac:dyDescent="0.2">
      <c r="A367" s="90"/>
      <c r="B367" s="52" t="s">
        <v>130</v>
      </c>
      <c r="C367" s="52" t="s">
        <v>138</v>
      </c>
      <c r="D367" s="52" t="s">
        <v>141</v>
      </c>
      <c r="E367" s="79" t="s">
        <v>14</v>
      </c>
      <c r="F367" s="85">
        <v>7</v>
      </c>
      <c r="G367" s="86">
        <v>8</v>
      </c>
      <c r="H367" s="87">
        <v>8.5</v>
      </c>
      <c r="I367" s="88">
        <v>9</v>
      </c>
      <c r="J367" s="87">
        <v>9</v>
      </c>
      <c r="K367" s="86">
        <v>9.5</v>
      </c>
      <c r="L367" s="85">
        <v>10.5</v>
      </c>
    </row>
    <row r="368" spans="1:12" hidden="1" outlineLevel="1" x14ac:dyDescent="0.2">
      <c r="A368" s="90"/>
      <c r="B368" s="52" t="s">
        <v>130</v>
      </c>
      <c r="C368" s="52" t="s">
        <v>138</v>
      </c>
      <c r="D368" s="52" t="s">
        <v>141</v>
      </c>
      <c r="E368" s="79" t="s">
        <v>0</v>
      </c>
      <c r="F368" s="85">
        <v>18</v>
      </c>
      <c r="G368" s="86">
        <v>18.5</v>
      </c>
      <c r="H368" s="87">
        <v>19.5</v>
      </c>
      <c r="I368" s="88">
        <v>20</v>
      </c>
      <c r="J368" s="87">
        <v>20.5</v>
      </c>
      <c r="K368" s="86">
        <v>21.5</v>
      </c>
      <c r="L368" s="85">
        <v>22.5</v>
      </c>
    </row>
    <row r="369" spans="1:12" hidden="1" outlineLevel="1" x14ac:dyDescent="0.2">
      <c r="A369" s="90"/>
    </row>
    <row r="370" spans="1:12" collapsed="1" x14ac:dyDescent="0.2">
      <c r="A370" s="90">
        <v>64</v>
      </c>
      <c r="B370" s="52" t="s">
        <v>130</v>
      </c>
      <c r="C370" s="52" t="s">
        <v>139</v>
      </c>
      <c r="D370" s="52" t="s">
        <v>141</v>
      </c>
      <c r="E370" s="179" t="s">
        <v>237</v>
      </c>
    </row>
    <row r="371" spans="1:12" hidden="1" outlineLevel="1" x14ac:dyDescent="0.2">
      <c r="A371" s="90"/>
      <c r="B371" s="52" t="s">
        <v>130</v>
      </c>
      <c r="C371" s="52" t="s">
        <v>139</v>
      </c>
      <c r="D371" s="52" t="s">
        <v>141</v>
      </c>
      <c r="E371" s="79" t="s">
        <v>103</v>
      </c>
      <c r="F371" s="80">
        <v>0.47499999999999998</v>
      </c>
      <c r="G371" s="81">
        <v>0.5</v>
      </c>
      <c r="H371" s="82">
        <v>0.52500000000000002</v>
      </c>
      <c r="I371" s="83">
        <v>0.53</v>
      </c>
      <c r="J371" s="82">
        <v>0.55500000000000005</v>
      </c>
      <c r="K371" s="81">
        <v>0.57999999999999996</v>
      </c>
      <c r="L371" s="80">
        <v>0.61</v>
      </c>
    </row>
    <row r="372" spans="1:12" hidden="1" outlineLevel="1" x14ac:dyDescent="0.2">
      <c r="A372" s="90"/>
      <c r="B372" s="52" t="s">
        <v>130</v>
      </c>
      <c r="C372" s="52" t="s">
        <v>139</v>
      </c>
      <c r="D372" s="52" t="s">
        <v>141</v>
      </c>
      <c r="E372" s="79" t="s">
        <v>104</v>
      </c>
      <c r="F372" s="83"/>
      <c r="G372" s="83"/>
      <c r="H372" s="82">
        <v>1.4999999999999999E-2</v>
      </c>
      <c r="I372" s="83">
        <v>0.02</v>
      </c>
      <c r="J372" s="82">
        <v>2.5000000000000001E-2</v>
      </c>
      <c r="K372" s="81">
        <v>3.5000000000000003E-2</v>
      </c>
      <c r="L372" s="80">
        <v>4.4999999999999998E-2</v>
      </c>
    </row>
    <row r="373" spans="1:12" hidden="1" outlineLevel="1" x14ac:dyDescent="0.2">
      <c r="A373" s="90"/>
      <c r="B373" s="52" t="s">
        <v>130</v>
      </c>
      <c r="C373" s="52" t="s">
        <v>139</v>
      </c>
      <c r="D373" s="52" t="s">
        <v>141</v>
      </c>
      <c r="E373" s="79" t="s">
        <v>105</v>
      </c>
      <c r="F373" s="83"/>
      <c r="G373" s="83"/>
      <c r="H373" s="82">
        <v>0.1</v>
      </c>
      <c r="I373" s="83">
        <v>0.105</v>
      </c>
      <c r="J373" s="82">
        <v>0.115</v>
      </c>
      <c r="K373" s="81">
        <v>0.13500000000000001</v>
      </c>
      <c r="L373" s="80">
        <v>0.14000000000000001</v>
      </c>
    </row>
    <row r="374" spans="1:12" hidden="1" outlineLevel="1" x14ac:dyDescent="0.2">
      <c r="A374" s="90"/>
      <c r="B374" s="52" t="s">
        <v>130</v>
      </c>
      <c r="C374" s="52" t="s">
        <v>139</v>
      </c>
      <c r="D374" s="52" t="s">
        <v>141</v>
      </c>
      <c r="E374" s="79" t="s">
        <v>106</v>
      </c>
      <c r="F374" s="83"/>
      <c r="G374" s="83"/>
      <c r="H374" s="83"/>
      <c r="I374" s="83">
        <v>0.06</v>
      </c>
      <c r="J374" s="83"/>
      <c r="K374" s="81">
        <v>0.08</v>
      </c>
      <c r="L374" s="80">
        <v>0.09</v>
      </c>
    </row>
    <row r="375" spans="1:12" hidden="1" outlineLevel="1" x14ac:dyDescent="0.2">
      <c r="A375" s="90"/>
      <c r="B375" s="52" t="s">
        <v>130</v>
      </c>
      <c r="C375" s="52" t="s">
        <v>139</v>
      </c>
      <c r="D375" s="52" t="s">
        <v>141</v>
      </c>
      <c r="E375" s="79" t="s">
        <v>107</v>
      </c>
      <c r="F375" s="83"/>
      <c r="G375" s="83"/>
      <c r="H375" s="83"/>
      <c r="I375" s="83">
        <v>1.4999999999999999E-2</v>
      </c>
      <c r="J375" s="83"/>
      <c r="K375" s="81">
        <v>0.03</v>
      </c>
      <c r="L375" s="80">
        <v>0.05</v>
      </c>
    </row>
    <row r="376" spans="1:12" hidden="1" outlineLevel="1" x14ac:dyDescent="0.2">
      <c r="A376" s="90"/>
      <c r="B376" s="52" t="s">
        <v>130</v>
      </c>
      <c r="C376" s="52" t="s">
        <v>139</v>
      </c>
      <c r="D376" s="52" t="s">
        <v>141</v>
      </c>
      <c r="E376" s="79" t="s">
        <v>108</v>
      </c>
      <c r="F376" s="83"/>
      <c r="G376" s="83"/>
      <c r="H376" s="83"/>
      <c r="I376" s="83">
        <v>0.05</v>
      </c>
      <c r="J376" s="83"/>
      <c r="K376" s="81">
        <v>7.4999999999999997E-2</v>
      </c>
      <c r="L376" s="80">
        <v>0.11</v>
      </c>
    </row>
    <row r="377" spans="1:12" hidden="1" outlineLevel="1" x14ac:dyDescent="0.2">
      <c r="A377" s="90"/>
      <c r="B377" s="52" t="s">
        <v>130</v>
      </c>
      <c r="C377" s="52" t="s">
        <v>139</v>
      </c>
      <c r="D377" s="52" t="s">
        <v>141</v>
      </c>
      <c r="E377" s="79" t="s">
        <v>109</v>
      </c>
      <c r="F377" s="80">
        <v>0.04</v>
      </c>
      <c r="G377" s="81">
        <v>0.05</v>
      </c>
      <c r="H377" s="82">
        <v>5.5E-2</v>
      </c>
      <c r="I377" s="83">
        <v>0.06</v>
      </c>
      <c r="J377" s="82">
        <v>0.06</v>
      </c>
      <c r="K377" s="83"/>
      <c r="L377" s="83"/>
    </row>
    <row r="378" spans="1:12" hidden="1" outlineLevel="1" x14ac:dyDescent="0.2">
      <c r="A378" s="90"/>
      <c r="B378" s="52" t="s">
        <v>130</v>
      </c>
      <c r="C378" s="52" t="s">
        <v>139</v>
      </c>
      <c r="D378" s="52" t="s">
        <v>141</v>
      </c>
      <c r="E378" s="84" t="s">
        <v>110</v>
      </c>
      <c r="F378" s="83"/>
      <c r="G378" s="83"/>
      <c r="H378" s="83"/>
      <c r="I378" s="83">
        <v>0.01</v>
      </c>
      <c r="J378" s="83"/>
      <c r="K378" s="81">
        <v>1.4999999999999999E-2</v>
      </c>
      <c r="L378" s="80">
        <v>0.02</v>
      </c>
    </row>
    <row r="379" spans="1:12" hidden="1" outlineLevel="1" x14ac:dyDescent="0.2">
      <c r="A379" s="90"/>
      <c r="B379" s="52" t="s">
        <v>130</v>
      </c>
      <c r="C379" s="52" t="s">
        <v>139</v>
      </c>
      <c r="D379" s="52" t="s">
        <v>141</v>
      </c>
      <c r="E379" s="79" t="s">
        <v>34</v>
      </c>
      <c r="F379" s="83"/>
      <c r="G379" s="83"/>
      <c r="H379" s="82">
        <v>0.05</v>
      </c>
      <c r="I379" s="83">
        <v>5.5E-2</v>
      </c>
      <c r="J379" s="82">
        <v>0.06</v>
      </c>
      <c r="K379" s="81">
        <v>7.4999999999999997E-2</v>
      </c>
      <c r="L379" s="80">
        <v>0.09</v>
      </c>
    </row>
    <row r="380" spans="1:12" hidden="1" outlineLevel="1" x14ac:dyDescent="0.2">
      <c r="A380" s="90"/>
      <c r="B380" s="52" t="s">
        <v>130</v>
      </c>
      <c r="C380" s="52" t="s">
        <v>139</v>
      </c>
      <c r="D380" s="52" t="s">
        <v>141</v>
      </c>
      <c r="E380" s="79" t="s">
        <v>4</v>
      </c>
      <c r="F380" s="85">
        <v>13.5</v>
      </c>
      <c r="G380" s="86">
        <v>14</v>
      </c>
      <c r="H380" s="87">
        <v>15</v>
      </c>
      <c r="I380" s="88">
        <v>15</v>
      </c>
      <c r="J380" s="87">
        <v>15.5</v>
      </c>
      <c r="K380" s="86">
        <v>16.5</v>
      </c>
      <c r="L380" s="85">
        <v>17</v>
      </c>
    </row>
    <row r="381" spans="1:12" hidden="1" outlineLevel="1" x14ac:dyDescent="0.2">
      <c r="A381" s="90"/>
      <c r="B381" s="52" t="s">
        <v>130</v>
      </c>
      <c r="C381" s="52" t="s">
        <v>139</v>
      </c>
      <c r="D381" s="52" t="s">
        <v>141</v>
      </c>
      <c r="E381" s="79" t="s">
        <v>14</v>
      </c>
      <c r="F381" s="85">
        <v>7.5</v>
      </c>
      <c r="G381" s="86">
        <v>8.5</v>
      </c>
      <c r="H381" s="87">
        <v>9</v>
      </c>
      <c r="I381" s="88">
        <v>9.5</v>
      </c>
      <c r="J381" s="87">
        <v>9.5</v>
      </c>
      <c r="K381" s="86">
        <v>10</v>
      </c>
      <c r="L381" s="85">
        <v>10.5</v>
      </c>
    </row>
    <row r="382" spans="1:12" hidden="1" outlineLevel="1" x14ac:dyDescent="0.2">
      <c r="A382" s="90"/>
      <c r="B382" s="52" t="s">
        <v>130</v>
      </c>
      <c r="C382" s="52" t="s">
        <v>139</v>
      </c>
      <c r="D382" s="52" t="s">
        <v>141</v>
      </c>
      <c r="E382" s="79" t="s">
        <v>0</v>
      </c>
      <c r="F382" s="85">
        <v>18.5</v>
      </c>
      <c r="G382" s="86">
        <v>19</v>
      </c>
      <c r="H382" s="87">
        <v>20</v>
      </c>
      <c r="I382" s="88">
        <v>20.5</v>
      </c>
      <c r="J382" s="87">
        <v>20.5</v>
      </c>
      <c r="K382" s="86">
        <v>22</v>
      </c>
      <c r="L382" s="85">
        <v>22.5</v>
      </c>
    </row>
    <row r="383" spans="1:12" hidden="1" outlineLevel="1" x14ac:dyDescent="0.2">
      <c r="A383" s="90"/>
    </row>
    <row r="384" spans="1:12" collapsed="1" x14ac:dyDescent="0.2">
      <c r="A384" s="90">
        <v>51</v>
      </c>
      <c r="B384" s="52" t="s">
        <v>131</v>
      </c>
      <c r="C384" s="52" t="s">
        <v>137</v>
      </c>
      <c r="D384" s="52" t="s">
        <v>141</v>
      </c>
      <c r="E384" s="179" t="s">
        <v>238</v>
      </c>
    </row>
    <row r="385" spans="1:12" hidden="1" outlineLevel="1" x14ac:dyDescent="0.2">
      <c r="A385" s="90"/>
      <c r="B385" s="52" t="s">
        <v>131</v>
      </c>
      <c r="C385" s="52" t="s">
        <v>137</v>
      </c>
      <c r="D385" s="52" t="s">
        <v>141</v>
      </c>
      <c r="E385" s="79" t="s">
        <v>103</v>
      </c>
      <c r="F385" s="80">
        <v>0.4</v>
      </c>
      <c r="G385" s="81">
        <v>0.42499999999999999</v>
      </c>
      <c r="H385" s="82">
        <v>0.46500000000000002</v>
      </c>
      <c r="I385" s="83">
        <v>0.48499999999999999</v>
      </c>
      <c r="J385" s="82">
        <v>0.5</v>
      </c>
      <c r="K385" s="81">
        <v>0.53</v>
      </c>
      <c r="L385" s="80">
        <v>0.57499999999999996</v>
      </c>
    </row>
    <row r="386" spans="1:12" hidden="1" outlineLevel="1" x14ac:dyDescent="0.2">
      <c r="A386" s="90"/>
      <c r="B386" s="52" t="s">
        <v>131</v>
      </c>
      <c r="C386" s="52" t="s">
        <v>137</v>
      </c>
      <c r="D386" s="52" t="s">
        <v>141</v>
      </c>
      <c r="E386" s="79" t="s">
        <v>104</v>
      </c>
      <c r="F386" s="83"/>
      <c r="G386" s="83"/>
      <c r="H386" s="82">
        <v>1.4999999999999999E-2</v>
      </c>
      <c r="I386" s="83">
        <v>2.5000000000000001E-2</v>
      </c>
      <c r="J386" s="82">
        <v>0.03</v>
      </c>
      <c r="K386" s="81">
        <v>4.4999999999999998E-2</v>
      </c>
      <c r="L386" s="80">
        <v>6.5000000000000002E-2</v>
      </c>
    </row>
    <row r="387" spans="1:12" hidden="1" outlineLevel="1" x14ac:dyDescent="0.2">
      <c r="A387" s="90"/>
      <c r="B387" s="52" t="s">
        <v>131</v>
      </c>
      <c r="C387" s="52" t="s">
        <v>137</v>
      </c>
      <c r="D387" s="52" t="s">
        <v>141</v>
      </c>
      <c r="E387" s="79" t="s">
        <v>105</v>
      </c>
      <c r="F387" s="83"/>
      <c r="G387" s="83"/>
      <c r="H387" s="82">
        <v>0.09</v>
      </c>
      <c r="I387" s="83">
        <v>0.1</v>
      </c>
      <c r="J387" s="82">
        <v>0.115</v>
      </c>
      <c r="K387" s="81">
        <v>0.14000000000000001</v>
      </c>
      <c r="L387" s="80">
        <v>0.16500000000000001</v>
      </c>
    </row>
    <row r="388" spans="1:12" hidden="1" outlineLevel="1" x14ac:dyDescent="0.2">
      <c r="A388" s="90"/>
      <c r="B388" s="52" t="s">
        <v>131</v>
      </c>
      <c r="C388" s="52" t="s">
        <v>137</v>
      </c>
      <c r="D388" s="52" t="s">
        <v>141</v>
      </c>
      <c r="E388" s="79" t="s">
        <v>106</v>
      </c>
      <c r="F388" s="83"/>
      <c r="G388" s="83"/>
      <c r="H388" s="83"/>
      <c r="I388" s="83">
        <v>7.4999999999999997E-2</v>
      </c>
      <c r="J388" s="83"/>
      <c r="K388" s="81">
        <v>0.105</v>
      </c>
      <c r="L388" s="80">
        <v>0.115</v>
      </c>
    </row>
    <row r="389" spans="1:12" hidden="1" outlineLevel="1" x14ac:dyDescent="0.2">
      <c r="A389" s="90"/>
      <c r="B389" s="52" t="s">
        <v>131</v>
      </c>
      <c r="C389" s="52" t="s">
        <v>137</v>
      </c>
      <c r="D389" s="52" t="s">
        <v>141</v>
      </c>
      <c r="E389" s="79" t="s">
        <v>107</v>
      </c>
      <c r="F389" s="83"/>
      <c r="G389" s="83"/>
      <c r="H389" s="83"/>
      <c r="I389" s="83">
        <v>1.4999999999999999E-2</v>
      </c>
      <c r="J389" s="83"/>
      <c r="K389" s="81">
        <v>3.5000000000000003E-2</v>
      </c>
      <c r="L389" s="80">
        <v>0.05</v>
      </c>
    </row>
    <row r="390" spans="1:12" hidden="1" outlineLevel="1" x14ac:dyDescent="0.2">
      <c r="A390" s="90"/>
      <c r="B390" s="52" t="s">
        <v>131</v>
      </c>
      <c r="C390" s="52" t="s">
        <v>137</v>
      </c>
      <c r="D390" s="52" t="s">
        <v>141</v>
      </c>
      <c r="E390" s="79" t="s">
        <v>108</v>
      </c>
      <c r="F390" s="83"/>
      <c r="G390" s="83"/>
      <c r="H390" s="83"/>
      <c r="I390" s="83">
        <v>6.5000000000000002E-2</v>
      </c>
      <c r="J390" s="83"/>
      <c r="K390" s="81">
        <v>8.5000000000000006E-2</v>
      </c>
      <c r="L390" s="80">
        <v>9.5000000000000001E-2</v>
      </c>
    </row>
    <row r="391" spans="1:12" hidden="1" outlineLevel="1" x14ac:dyDescent="0.2">
      <c r="A391" s="90"/>
      <c r="B391" s="52" t="s">
        <v>131</v>
      </c>
      <c r="C391" s="52" t="s">
        <v>137</v>
      </c>
      <c r="D391" s="52" t="s">
        <v>141</v>
      </c>
      <c r="E391" s="79" t="s">
        <v>109</v>
      </c>
      <c r="F391" s="80">
        <v>2.5000000000000001E-2</v>
      </c>
      <c r="G391" s="81">
        <v>0.04</v>
      </c>
      <c r="H391" s="82">
        <v>0.05</v>
      </c>
      <c r="I391" s="83">
        <v>5.5E-2</v>
      </c>
      <c r="J391" s="82">
        <v>0.06</v>
      </c>
      <c r="K391" s="83"/>
      <c r="L391" s="83"/>
    </row>
    <row r="392" spans="1:12" hidden="1" outlineLevel="1" x14ac:dyDescent="0.2">
      <c r="A392" s="90"/>
      <c r="B392" s="52" t="s">
        <v>131</v>
      </c>
      <c r="C392" s="52" t="s">
        <v>137</v>
      </c>
      <c r="D392" s="52" t="s">
        <v>141</v>
      </c>
      <c r="E392" s="79" t="s">
        <v>110</v>
      </c>
      <c r="F392" s="83"/>
      <c r="G392" s="83"/>
      <c r="H392" s="83"/>
      <c r="I392" s="83">
        <v>0.01</v>
      </c>
      <c r="J392" s="83"/>
      <c r="K392" s="81">
        <v>1.4999999999999999E-2</v>
      </c>
      <c r="L392" s="80">
        <v>0.02</v>
      </c>
    </row>
    <row r="393" spans="1:12" hidden="1" outlineLevel="1" x14ac:dyDescent="0.2">
      <c r="A393" s="90"/>
      <c r="B393" s="52" t="s">
        <v>131</v>
      </c>
      <c r="C393" s="52" t="s">
        <v>137</v>
      </c>
      <c r="D393" s="52" t="s">
        <v>141</v>
      </c>
      <c r="E393" s="79" t="s">
        <v>34</v>
      </c>
      <c r="F393" s="83"/>
      <c r="G393" s="83"/>
      <c r="H393" s="82">
        <v>0.08</v>
      </c>
      <c r="I393" s="83">
        <v>8.5000000000000006E-2</v>
      </c>
      <c r="J393" s="82">
        <v>9.5000000000000001E-2</v>
      </c>
      <c r="K393" s="81">
        <v>0.125</v>
      </c>
      <c r="L393" s="80">
        <v>0.14000000000000001</v>
      </c>
    </row>
    <row r="394" spans="1:12" hidden="1" outlineLevel="1" x14ac:dyDescent="0.2">
      <c r="A394" s="90"/>
      <c r="B394" s="52" t="s">
        <v>131</v>
      </c>
      <c r="C394" s="52" t="s">
        <v>137</v>
      </c>
      <c r="D394" s="52" t="s">
        <v>141</v>
      </c>
      <c r="E394" s="79" t="s">
        <v>4</v>
      </c>
      <c r="F394" s="85">
        <v>10.5</v>
      </c>
      <c r="G394" s="86">
        <v>12</v>
      </c>
      <c r="H394" s="87">
        <v>13</v>
      </c>
      <c r="I394" s="88">
        <v>13.5</v>
      </c>
      <c r="J394" s="87">
        <v>14</v>
      </c>
      <c r="K394" s="86">
        <v>16</v>
      </c>
      <c r="L394" s="85">
        <v>17</v>
      </c>
    </row>
    <row r="395" spans="1:12" hidden="1" outlineLevel="1" x14ac:dyDescent="0.2">
      <c r="A395" s="90"/>
      <c r="B395" s="52" t="s">
        <v>131</v>
      </c>
      <c r="C395" s="52" t="s">
        <v>137</v>
      </c>
      <c r="D395" s="52" t="s">
        <v>141</v>
      </c>
      <c r="E395" s="79" t="s">
        <v>14</v>
      </c>
      <c r="F395" s="85">
        <v>5.5</v>
      </c>
      <c r="G395" s="86">
        <v>6.5</v>
      </c>
      <c r="H395" s="87">
        <v>7</v>
      </c>
      <c r="I395" s="88">
        <v>7.5</v>
      </c>
      <c r="J395" s="87">
        <v>8</v>
      </c>
      <c r="K395" s="86">
        <v>9</v>
      </c>
      <c r="L395" s="85">
        <v>10</v>
      </c>
    </row>
    <row r="396" spans="1:12" hidden="1" outlineLevel="1" x14ac:dyDescent="0.2">
      <c r="A396" s="90"/>
      <c r="B396" s="52" t="s">
        <v>131</v>
      </c>
      <c r="C396" s="52" t="s">
        <v>137</v>
      </c>
      <c r="D396" s="52" t="s">
        <v>141</v>
      </c>
      <c r="E396" s="79" t="s">
        <v>0</v>
      </c>
      <c r="F396" s="85">
        <v>17.5</v>
      </c>
      <c r="G396" s="86">
        <v>18</v>
      </c>
      <c r="H396" s="87">
        <v>20.5</v>
      </c>
      <c r="I396" s="88">
        <v>21</v>
      </c>
      <c r="J396" s="87">
        <v>21.5</v>
      </c>
      <c r="K396" s="86">
        <v>23.5</v>
      </c>
      <c r="L396" s="85">
        <v>24.5</v>
      </c>
    </row>
    <row r="397" spans="1:12" hidden="1" outlineLevel="1" x14ac:dyDescent="0.2">
      <c r="A397" s="90"/>
    </row>
    <row r="398" spans="1:12" collapsed="1" x14ac:dyDescent="0.2">
      <c r="A398" s="90">
        <v>114</v>
      </c>
      <c r="B398" s="52" t="s">
        <v>131</v>
      </c>
      <c r="C398" s="52" t="s">
        <v>138</v>
      </c>
      <c r="D398" s="52" t="s">
        <v>141</v>
      </c>
      <c r="E398" s="179" t="s">
        <v>239</v>
      </c>
    </row>
    <row r="399" spans="1:12" hidden="1" outlineLevel="1" x14ac:dyDescent="0.2">
      <c r="A399" s="90"/>
      <c r="B399" s="52" t="s">
        <v>131</v>
      </c>
      <c r="C399" s="52" t="s">
        <v>138</v>
      </c>
      <c r="D399" s="52" t="s">
        <v>141</v>
      </c>
      <c r="E399" s="79" t="s">
        <v>103</v>
      </c>
      <c r="F399" s="80">
        <v>0.44</v>
      </c>
      <c r="G399" s="81">
        <v>0.46500000000000002</v>
      </c>
      <c r="H399" s="82">
        <v>0.49</v>
      </c>
      <c r="I399" s="83">
        <v>0.505</v>
      </c>
      <c r="J399" s="82">
        <v>0.51500000000000001</v>
      </c>
      <c r="K399" s="81">
        <v>0.55000000000000004</v>
      </c>
      <c r="L399" s="80">
        <v>0.57999999999999996</v>
      </c>
    </row>
    <row r="400" spans="1:12" hidden="1" outlineLevel="1" x14ac:dyDescent="0.2">
      <c r="A400" s="90"/>
      <c r="B400" s="52" t="s">
        <v>131</v>
      </c>
      <c r="C400" s="52" t="s">
        <v>138</v>
      </c>
      <c r="D400" s="52" t="s">
        <v>141</v>
      </c>
      <c r="E400" s="79" t="s">
        <v>104</v>
      </c>
      <c r="F400" s="83"/>
      <c r="G400" s="83"/>
      <c r="H400" s="82">
        <v>1.4999999999999999E-2</v>
      </c>
      <c r="I400" s="83">
        <v>0.02</v>
      </c>
      <c r="J400" s="82">
        <v>2.5000000000000001E-2</v>
      </c>
      <c r="K400" s="81">
        <v>0.04</v>
      </c>
      <c r="L400" s="80">
        <v>4.4999999999999998E-2</v>
      </c>
    </row>
    <row r="401" spans="1:12" hidden="1" outlineLevel="1" x14ac:dyDescent="0.2">
      <c r="A401" s="90"/>
      <c r="B401" s="52" t="s">
        <v>131</v>
      </c>
      <c r="C401" s="52" t="s">
        <v>138</v>
      </c>
      <c r="D401" s="52" t="s">
        <v>141</v>
      </c>
      <c r="E401" s="79" t="s">
        <v>105</v>
      </c>
      <c r="F401" s="83"/>
      <c r="G401" s="83"/>
      <c r="H401" s="82">
        <v>0.105</v>
      </c>
      <c r="I401" s="83">
        <v>0.11</v>
      </c>
      <c r="J401" s="82">
        <v>0.12</v>
      </c>
      <c r="K401" s="81">
        <v>0.14000000000000001</v>
      </c>
      <c r="L401" s="80">
        <v>0.16</v>
      </c>
    </row>
    <row r="402" spans="1:12" hidden="1" outlineLevel="1" x14ac:dyDescent="0.2">
      <c r="A402" s="90"/>
      <c r="B402" s="52" t="s">
        <v>131</v>
      </c>
      <c r="C402" s="52" t="s">
        <v>138</v>
      </c>
      <c r="D402" s="52" t="s">
        <v>141</v>
      </c>
      <c r="E402" s="79" t="s">
        <v>106</v>
      </c>
      <c r="F402" s="83"/>
      <c r="G402" s="83"/>
      <c r="H402" s="83"/>
      <c r="I402" s="83">
        <v>6.5000000000000002E-2</v>
      </c>
      <c r="J402" s="83"/>
      <c r="K402" s="81">
        <v>8.5000000000000006E-2</v>
      </c>
      <c r="L402" s="80">
        <v>0.105</v>
      </c>
    </row>
    <row r="403" spans="1:12" hidden="1" outlineLevel="1" x14ac:dyDescent="0.2">
      <c r="A403" s="90"/>
      <c r="B403" s="52" t="s">
        <v>131</v>
      </c>
      <c r="C403" s="52" t="s">
        <v>138</v>
      </c>
      <c r="D403" s="52" t="s">
        <v>141</v>
      </c>
      <c r="E403" s="79" t="s">
        <v>107</v>
      </c>
      <c r="F403" s="83"/>
      <c r="G403" s="83"/>
      <c r="H403" s="83"/>
      <c r="I403" s="83">
        <v>1.4999999999999999E-2</v>
      </c>
      <c r="J403" s="83"/>
      <c r="K403" s="81">
        <v>0.03</v>
      </c>
      <c r="L403" s="80">
        <v>4.4999999999999998E-2</v>
      </c>
    </row>
    <row r="404" spans="1:12" hidden="1" outlineLevel="1" x14ac:dyDescent="0.2">
      <c r="A404" s="90"/>
      <c r="B404" s="52" t="s">
        <v>131</v>
      </c>
      <c r="C404" s="52" t="s">
        <v>138</v>
      </c>
      <c r="D404" s="52" t="s">
        <v>141</v>
      </c>
      <c r="E404" s="79" t="s">
        <v>108</v>
      </c>
      <c r="F404" s="83"/>
      <c r="G404" s="83"/>
      <c r="H404" s="83"/>
      <c r="I404" s="83">
        <v>0.06</v>
      </c>
      <c r="J404" s="83"/>
      <c r="K404" s="81">
        <v>0.09</v>
      </c>
      <c r="L404" s="80">
        <v>0.14499999999999999</v>
      </c>
    </row>
    <row r="405" spans="1:12" hidden="1" outlineLevel="1" x14ac:dyDescent="0.2">
      <c r="A405" s="90"/>
      <c r="B405" s="52" t="s">
        <v>131</v>
      </c>
      <c r="C405" s="52" t="s">
        <v>138</v>
      </c>
      <c r="D405" s="52" t="s">
        <v>141</v>
      </c>
      <c r="E405" s="79" t="s">
        <v>109</v>
      </c>
      <c r="F405" s="80">
        <v>3.5000000000000003E-2</v>
      </c>
      <c r="G405" s="81">
        <v>0.04</v>
      </c>
      <c r="H405" s="82">
        <v>0.05</v>
      </c>
      <c r="I405" s="83">
        <v>0.06</v>
      </c>
      <c r="J405" s="82">
        <v>6.5000000000000002E-2</v>
      </c>
      <c r="K405" s="83"/>
      <c r="L405" s="83"/>
    </row>
    <row r="406" spans="1:12" hidden="1" outlineLevel="1" x14ac:dyDescent="0.2">
      <c r="A406" s="90"/>
      <c r="B406" s="52" t="s">
        <v>131</v>
      </c>
      <c r="C406" s="52" t="s">
        <v>138</v>
      </c>
      <c r="D406" s="52" t="s">
        <v>141</v>
      </c>
      <c r="E406" s="79" t="s">
        <v>110</v>
      </c>
      <c r="F406" s="83"/>
      <c r="G406" s="83"/>
      <c r="H406" s="83"/>
      <c r="I406" s="83">
        <v>0.01</v>
      </c>
      <c r="J406" s="83"/>
      <c r="K406" s="81">
        <v>1.4999999999999999E-2</v>
      </c>
      <c r="L406" s="80">
        <v>0.02</v>
      </c>
    </row>
    <row r="407" spans="1:12" hidden="1" outlineLevel="1" x14ac:dyDescent="0.2">
      <c r="A407" s="90"/>
      <c r="B407" s="52" t="s">
        <v>131</v>
      </c>
      <c r="C407" s="52" t="s">
        <v>138</v>
      </c>
      <c r="D407" s="52" t="s">
        <v>141</v>
      </c>
      <c r="E407" s="79" t="s">
        <v>34</v>
      </c>
      <c r="F407" s="83"/>
      <c r="G407" s="83"/>
      <c r="H407" s="82">
        <v>6.5000000000000002E-2</v>
      </c>
      <c r="I407" s="83">
        <v>7.0000000000000007E-2</v>
      </c>
      <c r="J407" s="82">
        <v>7.4999999999999997E-2</v>
      </c>
      <c r="K407" s="81">
        <v>9.5000000000000001E-2</v>
      </c>
      <c r="L407" s="80">
        <v>0.105</v>
      </c>
    </row>
    <row r="408" spans="1:12" hidden="1" outlineLevel="1" x14ac:dyDescent="0.2">
      <c r="A408" s="90"/>
      <c r="B408" s="52" t="s">
        <v>131</v>
      </c>
      <c r="C408" s="52" t="s">
        <v>138</v>
      </c>
      <c r="D408" s="52" t="s">
        <v>141</v>
      </c>
      <c r="E408" s="79" t="s">
        <v>4</v>
      </c>
      <c r="F408" s="85">
        <v>13</v>
      </c>
      <c r="G408" s="86">
        <v>14</v>
      </c>
      <c r="H408" s="87">
        <v>15</v>
      </c>
      <c r="I408" s="88">
        <v>15</v>
      </c>
      <c r="J408" s="87">
        <v>15.5</v>
      </c>
      <c r="K408" s="86">
        <v>17</v>
      </c>
      <c r="L408" s="85">
        <v>18</v>
      </c>
    </row>
    <row r="409" spans="1:12" hidden="1" outlineLevel="1" x14ac:dyDescent="0.2">
      <c r="A409" s="90"/>
      <c r="B409" s="52" t="s">
        <v>131</v>
      </c>
      <c r="C409" s="52" t="s">
        <v>138</v>
      </c>
      <c r="D409" s="52" t="s">
        <v>141</v>
      </c>
      <c r="E409" s="79" t="s">
        <v>14</v>
      </c>
      <c r="F409" s="85">
        <v>7</v>
      </c>
      <c r="G409" s="86">
        <v>7.5</v>
      </c>
      <c r="H409" s="87">
        <v>8</v>
      </c>
      <c r="I409" s="88">
        <v>8.5</v>
      </c>
      <c r="J409" s="87">
        <v>9</v>
      </c>
      <c r="K409" s="86">
        <v>9.5</v>
      </c>
      <c r="L409" s="85">
        <v>10</v>
      </c>
    </row>
    <row r="410" spans="1:12" hidden="1" outlineLevel="1" x14ac:dyDescent="0.2">
      <c r="A410" s="90"/>
      <c r="B410" s="52" t="s">
        <v>131</v>
      </c>
      <c r="C410" s="52" t="s">
        <v>138</v>
      </c>
      <c r="D410" s="52" t="s">
        <v>141</v>
      </c>
      <c r="E410" s="79" t="s">
        <v>0</v>
      </c>
      <c r="F410" s="85">
        <v>19.5</v>
      </c>
      <c r="G410" s="86">
        <v>20.5</v>
      </c>
      <c r="H410" s="87">
        <v>21.5</v>
      </c>
      <c r="I410" s="88">
        <v>22</v>
      </c>
      <c r="J410" s="87">
        <v>22.5</v>
      </c>
      <c r="K410" s="86">
        <v>23.5</v>
      </c>
      <c r="L410" s="85">
        <v>24</v>
      </c>
    </row>
    <row r="411" spans="1:12" hidden="1" outlineLevel="1" x14ac:dyDescent="0.2">
      <c r="A411" s="90"/>
    </row>
    <row r="412" spans="1:12" collapsed="1" x14ac:dyDescent="0.2">
      <c r="A412" s="90">
        <v>31</v>
      </c>
      <c r="B412" s="52" t="s">
        <v>131</v>
      </c>
      <c r="C412" s="52" t="s">
        <v>139</v>
      </c>
      <c r="D412" s="52" t="s">
        <v>141</v>
      </c>
      <c r="E412" s="179" t="s">
        <v>240</v>
      </c>
    </row>
    <row r="413" spans="1:12" hidden="1" outlineLevel="1" x14ac:dyDescent="0.2">
      <c r="B413" s="52" t="s">
        <v>131</v>
      </c>
      <c r="C413" s="52" t="s">
        <v>139</v>
      </c>
      <c r="D413" s="52" t="s">
        <v>141</v>
      </c>
      <c r="E413" s="79" t="s">
        <v>103</v>
      </c>
      <c r="F413" s="80">
        <v>0.435</v>
      </c>
      <c r="G413" s="81">
        <v>0.46500000000000002</v>
      </c>
      <c r="H413" s="82">
        <v>0.48499999999999999</v>
      </c>
      <c r="I413" s="83">
        <v>0.495</v>
      </c>
      <c r="J413" s="82">
        <v>0.51</v>
      </c>
      <c r="K413" s="81">
        <v>0.54500000000000004</v>
      </c>
      <c r="L413" s="80">
        <v>0.56000000000000005</v>
      </c>
    </row>
    <row r="414" spans="1:12" hidden="1" outlineLevel="1" x14ac:dyDescent="0.2">
      <c r="B414" s="52" t="s">
        <v>131</v>
      </c>
      <c r="C414" s="52" t="s">
        <v>139</v>
      </c>
      <c r="D414" s="52" t="s">
        <v>141</v>
      </c>
      <c r="E414" s="79" t="s">
        <v>104</v>
      </c>
      <c r="F414" s="83"/>
      <c r="G414" s="83"/>
      <c r="H414" s="82">
        <v>0.02</v>
      </c>
      <c r="I414" s="83">
        <v>0.02</v>
      </c>
      <c r="J414" s="82">
        <v>0.03</v>
      </c>
      <c r="K414" s="81">
        <v>4.4999999999999998E-2</v>
      </c>
      <c r="L414" s="80">
        <v>0.06</v>
      </c>
    </row>
    <row r="415" spans="1:12" hidden="1" outlineLevel="1" x14ac:dyDescent="0.2">
      <c r="B415" s="52" t="s">
        <v>131</v>
      </c>
      <c r="C415" s="52" t="s">
        <v>139</v>
      </c>
      <c r="D415" s="52" t="s">
        <v>141</v>
      </c>
      <c r="E415" s="84" t="s">
        <v>105</v>
      </c>
      <c r="F415" s="83"/>
      <c r="G415" s="83"/>
      <c r="H415" s="82">
        <v>9.5000000000000001E-2</v>
      </c>
      <c r="I415" s="83">
        <v>0.105</v>
      </c>
      <c r="J415" s="82">
        <v>0.125</v>
      </c>
      <c r="K415" s="81">
        <v>0.14499999999999999</v>
      </c>
      <c r="L415" s="80">
        <v>0.16</v>
      </c>
    </row>
    <row r="416" spans="1:12" hidden="1" outlineLevel="1" x14ac:dyDescent="0.2">
      <c r="B416" s="52" t="s">
        <v>131</v>
      </c>
      <c r="C416" s="52" t="s">
        <v>139</v>
      </c>
      <c r="D416" s="52" t="s">
        <v>141</v>
      </c>
      <c r="E416" s="79" t="s">
        <v>106</v>
      </c>
      <c r="F416" s="83"/>
      <c r="G416" s="83"/>
      <c r="H416" s="83"/>
      <c r="I416" s="83">
        <v>0.06</v>
      </c>
      <c r="J416" s="83"/>
      <c r="K416" s="81">
        <v>0.08</v>
      </c>
      <c r="L416" s="80">
        <v>0.1</v>
      </c>
    </row>
    <row r="417" spans="1:14" hidden="1" outlineLevel="1" x14ac:dyDescent="0.2">
      <c r="B417" s="52" t="s">
        <v>131</v>
      </c>
      <c r="C417" s="52" t="s">
        <v>139</v>
      </c>
      <c r="D417" s="52" t="s">
        <v>141</v>
      </c>
      <c r="E417" s="79" t="s">
        <v>107</v>
      </c>
      <c r="F417" s="83"/>
      <c r="G417" s="83"/>
      <c r="H417" s="83"/>
      <c r="I417" s="83">
        <v>0.02</v>
      </c>
      <c r="J417" s="83"/>
      <c r="K417" s="81">
        <v>0.04</v>
      </c>
      <c r="L417" s="80">
        <v>7.0000000000000007E-2</v>
      </c>
    </row>
    <row r="418" spans="1:14" hidden="1" outlineLevel="1" x14ac:dyDescent="0.2">
      <c r="B418" s="52" t="s">
        <v>131</v>
      </c>
      <c r="C418" s="52" t="s">
        <v>139</v>
      </c>
      <c r="D418" s="52" t="s">
        <v>141</v>
      </c>
      <c r="E418" s="79" t="s">
        <v>108</v>
      </c>
      <c r="F418" s="83"/>
      <c r="G418" s="83"/>
      <c r="H418" s="83"/>
      <c r="I418" s="83">
        <v>0.06</v>
      </c>
      <c r="J418" s="83"/>
      <c r="K418" s="81">
        <v>8.5000000000000006E-2</v>
      </c>
      <c r="L418" s="80">
        <v>0.125</v>
      </c>
    </row>
    <row r="419" spans="1:14" hidden="1" outlineLevel="1" x14ac:dyDescent="0.2">
      <c r="B419" s="52" t="s">
        <v>131</v>
      </c>
      <c r="C419" s="52" t="s">
        <v>139</v>
      </c>
      <c r="D419" s="52" t="s">
        <v>141</v>
      </c>
      <c r="E419" s="79" t="s">
        <v>109</v>
      </c>
      <c r="F419" s="80">
        <v>0.04</v>
      </c>
      <c r="G419" s="81">
        <v>0.05</v>
      </c>
      <c r="H419" s="82">
        <v>5.5E-2</v>
      </c>
      <c r="I419" s="83">
        <v>0.06</v>
      </c>
      <c r="J419" s="82">
        <v>0.06</v>
      </c>
      <c r="K419" s="83"/>
      <c r="L419" s="83"/>
    </row>
    <row r="420" spans="1:14" hidden="1" outlineLevel="1" x14ac:dyDescent="0.2">
      <c r="B420" s="52" t="s">
        <v>131</v>
      </c>
      <c r="C420" s="52" t="s">
        <v>139</v>
      </c>
      <c r="D420" s="52" t="s">
        <v>141</v>
      </c>
      <c r="E420" s="84" t="s">
        <v>110</v>
      </c>
      <c r="F420" s="83"/>
      <c r="G420" s="83"/>
      <c r="H420" s="83"/>
      <c r="I420" s="83">
        <v>0.01</v>
      </c>
      <c r="J420" s="83"/>
      <c r="K420" s="81">
        <v>1.4999999999999999E-2</v>
      </c>
      <c r="L420" s="80">
        <v>0.02</v>
      </c>
    </row>
    <row r="421" spans="1:14" hidden="1" outlineLevel="1" x14ac:dyDescent="0.2">
      <c r="B421" s="52" t="s">
        <v>131</v>
      </c>
      <c r="C421" s="52" t="s">
        <v>139</v>
      </c>
      <c r="D421" s="52" t="s">
        <v>141</v>
      </c>
      <c r="E421" s="79" t="s">
        <v>34</v>
      </c>
      <c r="F421" s="83"/>
      <c r="G421" s="83"/>
      <c r="H421" s="82">
        <v>5.5E-2</v>
      </c>
      <c r="I421" s="83">
        <v>0.06</v>
      </c>
      <c r="J421" s="82">
        <v>7.0000000000000007E-2</v>
      </c>
      <c r="K421" s="81">
        <v>0.08</v>
      </c>
      <c r="L421" s="80">
        <v>0.1</v>
      </c>
    </row>
    <row r="422" spans="1:14" hidden="1" outlineLevel="1" x14ac:dyDescent="0.2">
      <c r="B422" s="52" t="s">
        <v>131</v>
      </c>
      <c r="C422" s="52" t="s">
        <v>139</v>
      </c>
      <c r="D422" s="52" t="s">
        <v>141</v>
      </c>
      <c r="E422" s="79" t="s">
        <v>4</v>
      </c>
      <c r="F422" s="85">
        <v>13.5</v>
      </c>
      <c r="G422" s="86">
        <v>14.5</v>
      </c>
      <c r="H422" s="87">
        <v>15.5</v>
      </c>
      <c r="I422" s="88">
        <v>15.5</v>
      </c>
      <c r="J422" s="87">
        <v>16</v>
      </c>
      <c r="K422" s="86">
        <v>17.5</v>
      </c>
      <c r="L422" s="85">
        <v>19.5</v>
      </c>
    </row>
    <row r="423" spans="1:14" hidden="1" outlineLevel="1" x14ac:dyDescent="0.2">
      <c r="B423" s="52" t="s">
        <v>131</v>
      </c>
      <c r="C423" s="52" t="s">
        <v>139</v>
      </c>
      <c r="D423" s="52" t="s">
        <v>141</v>
      </c>
      <c r="E423" s="84" t="s">
        <v>14</v>
      </c>
      <c r="F423" s="85">
        <v>7</v>
      </c>
      <c r="G423" s="86">
        <v>7.5</v>
      </c>
      <c r="H423" s="87">
        <v>8.5</v>
      </c>
      <c r="I423" s="88">
        <v>9</v>
      </c>
      <c r="J423" s="87">
        <v>9</v>
      </c>
      <c r="K423" s="86">
        <v>10</v>
      </c>
      <c r="L423" s="85">
        <v>11</v>
      </c>
    </row>
    <row r="424" spans="1:14" hidden="1" outlineLevel="1" x14ac:dyDescent="0.2">
      <c r="B424" s="52" t="s">
        <v>131</v>
      </c>
      <c r="C424" s="52" t="s">
        <v>139</v>
      </c>
      <c r="D424" s="52" t="s">
        <v>141</v>
      </c>
      <c r="E424" s="79" t="s">
        <v>0</v>
      </c>
      <c r="F424" s="85">
        <v>20</v>
      </c>
      <c r="G424" s="86">
        <v>21.5</v>
      </c>
      <c r="H424" s="87">
        <v>22</v>
      </c>
      <c r="I424" s="88">
        <v>23</v>
      </c>
      <c r="J424" s="87">
        <v>23</v>
      </c>
      <c r="K424" s="86">
        <v>24</v>
      </c>
      <c r="L424" s="85">
        <v>25</v>
      </c>
    </row>
    <row r="425" spans="1:14" hidden="1" outlineLevel="1" x14ac:dyDescent="0.2"/>
    <row r="426" spans="1:14" collapsed="1" x14ac:dyDescent="0.2"/>
    <row r="427" spans="1:14" s="77" customFormat="1" ht="60" x14ac:dyDescent="0.25">
      <c r="A427" s="76" t="s">
        <v>145</v>
      </c>
      <c r="B427" s="76" t="s">
        <v>16</v>
      </c>
      <c r="C427" s="76" t="s">
        <v>146</v>
      </c>
      <c r="D427" s="366" t="s">
        <v>147</v>
      </c>
      <c r="E427" s="366"/>
      <c r="F427" s="78" t="s">
        <v>148</v>
      </c>
      <c r="G427" s="78" t="s">
        <v>149</v>
      </c>
      <c r="H427" s="78" t="s">
        <v>150</v>
      </c>
      <c r="I427" s="78" t="s">
        <v>155</v>
      </c>
      <c r="J427" s="78" t="s">
        <v>154</v>
      </c>
      <c r="K427" s="78" t="s">
        <v>151</v>
      </c>
      <c r="L427" s="78" t="s">
        <v>152</v>
      </c>
      <c r="N427" s="77" t="s">
        <v>153</v>
      </c>
    </row>
    <row r="428" spans="1:14" x14ac:dyDescent="0.2">
      <c r="A428" s="73">
        <v>127</v>
      </c>
      <c r="B428" s="52" t="s">
        <v>132</v>
      </c>
      <c r="C428" s="52" t="s">
        <v>142</v>
      </c>
      <c r="E428" s="179" t="s">
        <v>241</v>
      </c>
    </row>
    <row r="429" spans="1:14" hidden="1" outlineLevel="1" x14ac:dyDescent="0.2">
      <c r="B429" s="52" t="s">
        <v>132</v>
      </c>
      <c r="C429" s="52" t="s">
        <v>142</v>
      </c>
      <c r="E429" s="79" t="s">
        <v>103</v>
      </c>
      <c r="F429" s="80">
        <v>0.27</v>
      </c>
      <c r="G429" s="81">
        <v>0.3</v>
      </c>
      <c r="H429" s="82">
        <v>0.34499999999999997</v>
      </c>
      <c r="I429" s="83">
        <v>0.36</v>
      </c>
      <c r="J429" s="82">
        <v>0.38</v>
      </c>
      <c r="K429" s="81">
        <v>0.43</v>
      </c>
      <c r="L429" s="80">
        <v>0.47</v>
      </c>
    </row>
    <row r="430" spans="1:14" hidden="1" outlineLevel="1" x14ac:dyDescent="0.2">
      <c r="B430" s="52" t="s">
        <v>132</v>
      </c>
      <c r="C430" s="52" t="s">
        <v>142</v>
      </c>
      <c r="E430" s="79" t="s">
        <v>104</v>
      </c>
      <c r="F430" s="83"/>
      <c r="G430" s="83"/>
      <c r="H430" s="82">
        <v>1.4999999999999999E-2</v>
      </c>
      <c r="I430" s="83">
        <v>0.02</v>
      </c>
      <c r="J430" s="82">
        <v>2.5000000000000001E-2</v>
      </c>
      <c r="K430" s="81">
        <v>4.4999999999999998E-2</v>
      </c>
      <c r="L430" s="80">
        <v>7.0000000000000007E-2</v>
      </c>
    </row>
    <row r="431" spans="1:14" hidden="1" outlineLevel="1" x14ac:dyDescent="0.2">
      <c r="B431" s="52" t="s">
        <v>132</v>
      </c>
      <c r="C431" s="52" t="s">
        <v>142</v>
      </c>
      <c r="E431" s="79" t="s">
        <v>105</v>
      </c>
      <c r="F431" s="83"/>
      <c r="G431" s="83"/>
      <c r="H431" s="82">
        <v>0.28999999999999998</v>
      </c>
      <c r="I431" s="83">
        <v>0.32</v>
      </c>
      <c r="J431" s="82">
        <v>0.34</v>
      </c>
      <c r="K431" s="81">
        <v>0.39</v>
      </c>
      <c r="L431" s="80">
        <v>0.41499999999999998</v>
      </c>
    </row>
    <row r="432" spans="1:14" hidden="1" outlineLevel="1" x14ac:dyDescent="0.2">
      <c r="B432" s="52" t="s">
        <v>132</v>
      </c>
      <c r="C432" s="52" t="s">
        <v>142</v>
      </c>
      <c r="E432" s="79" t="s">
        <v>106</v>
      </c>
      <c r="F432" s="83"/>
      <c r="G432" s="83"/>
      <c r="H432" s="83"/>
      <c r="I432" s="83">
        <v>4.4999999999999998E-2</v>
      </c>
      <c r="J432" s="83"/>
      <c r="K432" s="81">
        <v>6.5000000000000002E-2</v>
      </c>
      <c r="L432" s="80">
        <v>0.08</v>
      </c>
    </row>
    <row r="433" spans="1:12" hidden="1" outlineLevel="1" x14ac:dyDescent="0.2">
      <c r="B433" s="52" t="s">
        <v>132</v>
      </c>
      <c r="C433" s="52" t="s">
        <v>142</v>
      </c>
      <c r="E433" s="79" t="s">
        <v>107</v>
      </c>
      <c r="F433" s="83"/>
      <c r="G433" s="83"/>
      <c r="H433" s="83"/>
      <c r="I433" s="83">
        <v>0.03</v>
      </c>
      <c r="J433" s="83"/>
      <c r="K433" s="81">
        <v>0.05</v>
      </c>
      <c r="L433" s="80">
        <v>7.0000000000000007E-2</v>
      </c>
    </row>
    <row r="434" spans="1:12" hidden="1" outlineLevel="1" x14ac:dyDescent="0.2">
      <c r="B434" s="52" t="s">
        <v>132</v>
      </c>
      <c r="C434" s="52" t="s">
        <v>142</v>
      </c>
      <c r="E434" s="79" t="s">
        <v>108</v>
      </c>
      <c r="F434" s="83"/>
      <c r="G434" s="83"/>
      <c r="H434" s="83"/>
      <c r="I434" s="83">
        <v>0.05</v>
      </c>
      <c r="J434" s="83"/>
      <c r="K434" s="81">
        <v>6.5000000000000002E-2</v>
      </c>
      <c r="L434" s="80">
        <v>0.08</v>
      </c>
    </row>
    <row r="435" spans="1:12" hidden="1" outlineLevel="1" x14ac:dyDescent="0.2">
      <c r="B435" s="52" t="s">
        <v>132</v>
      </c>
      <c r="C435" s="52" t="s">
        <v>142</v>
      </c>
      <c r="E435" s="79" t="s">
        <v>109</v>
      </c>
      <c r="F435" s="80">
        <v>0.02</v>
      </c>
      <c r="G435" s="81">
        <v>2.5000000000000001E-2</v>
      </c>
      <c r="H435" s="82">
        <v>3.5000000000000003E-2</v>
      </c>
      <c r="I435" s="83">
        <v>3.5000000000000003E-2</v>
      </c>
      <c r="J435" s="82">
        <v>0.04</v>
      </c>
      <c r="K435" s="83"/>
      <c r="L435" s="83"/>
    </row>
    <row r="436" spans="1:12" hidden="1" outlineLevel="1" x14ac:dyDescent="0.2">
      <c r="B436" s="52" t="s">
        <v>132</v>
      </c>
      <c r="C436" s="52" t="s">
        <v>142</v>
      </c>
      <c r="E436" s="79" t="s">
        <v>110</v>
      </c>
      <c r="F436" s="83"/>
      <c r="G436" s="83"/>
      <c r="H436" s="83"/>
      <c r="I436" s="83">
        <v>0.01</v>
      </c>
      <c r="J436" s="83"/>
      <c r="K436" s="81">
        <v>1.4999999999999999E-2</v>
      </c>
      <c r="L436" s="80">
        <v>0.02</v>
      </c>
    </row>
    <row r="437" spans="1:12" hidden="1" outlineLevel="1" x14ac:dyDescent="0.2">
      <c r="B437" s="52" t="s">
        <v>132</v>
      </c>
      <c r="C437" s="52" t="s">
        <v>142</v>
      </c>
      <c r="E437" s="79" t="s">
        <v>34</v>
      </c>
      <c r="F437" s="83"/>
      <c r="G437" s="83"/>
      <c r="H437" s="82">
        <v>0.05</v>
      </c>
      <c r="I437" s="83">
        <v>5.5E-2</v>
      </c>
      <c r="J437" s="82">
        <v>6.5000000000000002E-2</v>
      </c>
      <c r="K437" s="81">
        <v>8.5000000000000006E-2</v>
      </c>
      <c r="L437" s="80">
        <v>0.105</v>
      </c>
    </row>
    <row r="438" spans="1:12" hidden="1" outlineLevel="1" x14ac:dyDescent="0.2">
      <c r="B438" s="52" t="s">
        <v>132</v>
      </c>
      <c r="C438" s="52" t="s">
        <v>142</v>
      </c>
      <c r="E438" s="79" t="s">
        <v>4</v>
      </c>
      <c r="F438" s="85">
        <v>4</v>
      </c>
      <c r="G438" s="86">
        <v>5</v>
      </c>
      <c r="H438" s="87">
        <v>6</v>
      </c>
      <c r="I438" s="88">
        <v>6.5</v>
      </c>
      <c r="J438" s="87">
        <v>7</v>
      </c>
      <c r="K438" s="86">
        <v>7.5</v>
      </c>
      <c r="L438" s="85">
        <v>8.5</v>
      </c>
    </row>
    <row r="439" spans="1:12" hidden="1" outlineLevel="1" x14ac:dyDescent="0.2">
      <c r="B439" s="52" t="s">
        <v>132</v>
      </c>
      <c r="C439" s="52" t="s">
        <v>142</v>
      </c>
      <c r="E439" s="84" t="s">
        <v>14</v>
      </c>
      <c r="F439" s="85">
        <v>1.3</v>
      </c>
      <c r="G439" s="86">
        <v>1.5</v>
      </c>
      <c r="H439" s="87">
        <v>1.7</v>
      </c>
      <c r="I439" s="88">
        <v>2</v>
      </c>
      <c r="J439" s="87">
        <v>2</v>
      </c>
      <c r="K439" s="86">
        <v>2.5</v>
      </c>
      <c r="L439" s="85">
        <v>2.7</v>
      </c>
    </row>
    <row r="440" spans="1:12" hidden="1" outlineLevel="1" x14ac:dyDescent="0.2">
      <c r="B440" s="52" t="s">
        <v>132</v>
      </c>
      <c r="C440" s="52" t="s">
        <v>142</v>
      </c>
      <c r="E440" s="79" t="s">
        <v>33</v>
      </c>
      <c r="F440" s="92">
        <v>52000</v>
      </c>
      <c r="G440" s="93">
        <v>57000</v>
      </c>
      <c r="H440" s="94">
        <v>62500</v>
      </c>
      <c r="I440" s="95">
        <v>65000</v>
      </c>
      <c r="J440" s="94">
        <v>67500</v>
      </c>
      <c r="K440" s="93">
        <v>73000</v>
      </c>
      <c r="L440" s="92">
        <v>78500</v>
      </c>
    </row>
    <row r="441" spans="1:12" hidden="1" outlineLevel="1" x14ac:dyDescent="0.2"/>
    <row r="442" spans="1:12" collapsed="1" x14ac:dyDescent="0.2">
      <c r="A442" s="73">
        <v>774</v>
      </c>
      <c r="B442" s="52" t="s">
        <v>132</v>
      </c>
      <c r="C442" s="52" t="s">
        <v>143</v>
      </c>
      <c r="E442" s="179" t="s">
        <v>243</v>
      </c>
    </row>
    <row r="443" spans="1:12" hidden="1" outlineLevel="1" x14ac:dyDescent="0.2">
      <c r="B443" s="52" t="s">
        <v>132</v>
      </c>
      <c r="C443" s="52" t="s">
        <v>143</v>
      </c>
      <c r="E443" s="79" t="s">
        <v>103</v>
      </c>
      <c r="F443" s="80">
        <v>0.27</v>
      </c>
      <c r="G443" s="81">
        <v>0.3</v>
      </c>
      <c r="H443" s="82">
        <v>0.34499999999999997</v>
      </c>
      <c r="I443" s="83">
        <v>0.36</v>
      </c>
      <c r="J443" s="82">
        <v>0.38</v>
      </c>
      <c r="K443" s="81">
        <v>0.43</v>
      </c>
      <c r="L443" s="80">
        <v>0.47</v>
      </c>
    </row>
    <row r="444" spans="1:12" hidden="1" outlineLevel="1" x14ac:dyDescent="0.2">
      <c r="B444" s="52" t="s">
        <v>132</v>
      </c>
      <c r="C444" s="52" t="s">
        <v>143</v>
      </c>
      <c r="E444" s="79" t="s">
        <v>104</v>
      </c>
      <c r="F444" s="83"/>
      <c r="G444" s="83"/>
      <c r="H444" s="82">
        <v>1.4999999999999999E-2</v>
      </c>
      <c r="I444" s="83">
        <v>0.02</v>
      </c>
      <c r="J444" s="82">
        <v>2.5000000000000001E-2</v>
      </c>
      <c r="K444" s="81">
        <v>4.4999999999999998E-2</v>
      </c>
      <c r="L444" s="80">
        <v>7.0000000000000007E-2</v>
      </c>
    </row>
    <row r="445" spans="1:12" hidden="1" outlineLevel="1" x14ac:dyDescent="0.2">
      <c r="B445" s="52" t="s">
        <v>132</v>
      </c>
      <c r="C445" s="52" t="s">
        <v>143</v>
      </c>
      <c r="E445" s="79" t="s">
        <v>105</v>
      </c>
      <c r="F445" s="83"/>
      <c r="G445" s="83"/>
      <c r="H445" s="82">
        <v>0.28999999999999998</v>
      </c>
      <c r="I445" s="83">
        <v>0.32</v>
      </c>
      <c r="J445" s="82">
        <v>0.34</v>
      </c>
      <c r="K445" s="81">
        <v>0.39</v>
      </c>
      <c r="L445" s="80">
        <v>0.41499999999999998</v>
      </c>
    </row>
    <row r="446" spans="1:12" hidden="1" outlineLevel="1" x14ac:dyDescent="0.2">
      <c r="B446" s="52" t="s">
        <v>132</v>
      </c>
      <c r="C446" s="52" t="s">
        <v>143</v>
      </c>
      <c r="E446" s="79" t="s">
        <v>106</v>
      </c>
      <c r="F446" s="83"/>
      <c r="G446" s="83"/>
      <c r="H446" s="83"/>
      <c r="I446" s="83">
        <v>4.4999999999999998E-2</v>
      </c>
      <c r="J446" s="83"/>
      <c r="K446" s="81">
        <v>6.5000000000000002E-2</v>
      </c>
      <c r="L446" s="80">
        <v>0.08</v>
      </c>
    </row>
    <row r="447" spans="1:12" hidden="1" outlineLevel="1" x14ac:dyDescent="0.2">
      <c r="B447" s="52" t="s">
        <v>132</v>
      </c>
      <c r="C447" s="52" t="s">
        <v>143</v>
      </c>
      <c r="E447" s="79" t="s">
        <v>107</v>
      </c>
      <c r="F447" s="83"/>
      <c r="G447" s="83"/>
      <c r="H447" s="83"/>
      <c r="I447" s="83">
        <v>0.03</v>
      </c>
      <c r="J447" s="83"/>
      <c r="K447" s="81">
        <v>0.05</v>
      </c>
      <c r="L447" s="80">
        <v>7.0000000000000007E-2</v>
      </c>
    </row>
    <row r="448" spans="1:12" hidden="1" outlineLevel="1" x14ac:dyDescent="0.2">
      <c r="B448" s="52" t="s">
        <v>132</v>
      </c>
      <c r="C448" s="52" t="s">
        <v>143</v>
      </c>
      <c r="E448" s="79" t="s">
        <v>108</v>
      </c>
      <c r="F448" s="83"/>
      <c r="G448" s="83"/>
      <c r="H448" s="83"/>
      <c r="I448" s="83">
        <v>0.05</v>
      </c>
      <c r="J448" s="83"/>
      <c r="K448" s="81">
        <v>6.5000000000000002E-2</v>
      </c>
      <c r="L448" s="80">
        <v>0.08</v>
      </c>
    </row>
    <row r="449" spans="1:12" hidden="1" outlineLevel="1" x14ac:dyDescent="0.2">
      <c r="B449" s="52" t="s">
        <v>132</v>
      </c>
      <c r="C449" s="52" t="s">
        <v>143</v>
      </c>
      <c r="E449" s="79" t="s">
        <v>109</v>
      </c>
      <c r="F449" s="80">
        <v>0.02</v>
      </c>
      <c r="G449" s="81">
        <v>2.5000000000000001E-2</v>
      </c>
      <c r="H449" s="82">
        <v>3.5000000000000003E-2</v>
      </c>
      <c r="I449" s="83">
        <v>3.5000000000000003E-2</v>
      </c>
      <c r="J449" s="82">
        <v>0.04</v>
      </c>
      <c r="K449" s="83"/>
      <c r="L449" s="83"/>
    </row>
    <row r="450" spans="1:12" hidden="1" outlineLevel="1" x14ac:dyDescent="0.2">
      <c r="B450" s="52" t="s">
        <v>132</v>
      </c>
      <c r="C450" s="52" t="s">
        <v>143</v>
      </c>
      <c r="E450" s="79" t="s">
        <v>110</v>
      </c>
      <c r="F450" s="83"/>
      <c r="G450" s="83"/>
      <c r="H450" s="83"/>
      <c r="I450" s="83">
        <v>0.01</v>
      </c>
      <c r="J450" s="83"/>
      <c r="K450" s="81">
        <v>1.4999999999999999E-2</v>
      </c>
      <c r="L450" s="80">
        <v>0.02</v>
      </c>
    </row>
    <row r="451" spans="1:12" hidden="1" outlineLevel="1" x14ac:dyDescent="0.2">
      <c r="B451" s="52" t="s">
        <v>132</v>
      </c>
      <c r="C451" s="52" t="s">
        <v>143</v>
      </c>
      <c r="E451" s="79" t="s">
        <v>34</v>
      </c>
      <c r="F451" s="83"/>
      <c r="G451" s="83"/>
      <c r="H451" s="82">
        <v>0.05</v>
      </c>
      <c r="I451" s="83">
        <v>5.5E-2</v>
      </c>
      <c r="J451" s="82">
        <v>6.5000000000000002E-2</v>
      </c>
      <c r="K451" s="81">
        <v>8.5000000000000006E-2</v>
      </c>
      <c r="L451" s="80">
        <v>0.105</v>
      </c>
    </row>
    <row r="452" spans="1:12" hidden="1" outlineLevel="1" x14ac:dyDescent="0.2">
      <c r="B452" s="52" t="s">
        <v>132</v>
      </c>
      <c r="C452" s="52" t="s">
        <v>143</v>
      </c>
      <c r="E452" s="79" t="s">
        <v>4</v>
      </c>
      <c r="F452" s="85">
        <v>4</v>
      </c>
      <c r="G452" s="86">
        <v>5</v>
      </c>
      <c r="H452" s="87">
        <v>6</v>
      </c>
      <c r="I452" s="88">
        <v>6.5</v>
      </c>
      <c r="J452" s="87">
        <v>7</v>
      </c>
      <c r="K452" s="86">
        <v>7.5</v>
      </c>
      <c r="L452" s="85">
        <v>8.5</v>
      </c>
    </row>
    <row r="453" spans="1:12" hidden="1" outlineLevel="1" x14ac:dyDescent="0.2">
      <c r="B453" s="52" t="s">
        <v>132</v>
      </c>
      <c r="C453" s="52" t="s">
        <v>143</v>
      </c>
      <c r="E453" s="84" t="s">
        <v>14</v>
      </c>
      <c r="F453" s="85">
        <v>1.3</v>
      </c>
      <c r="G453" s="86">
        <v>1.5</v>
      </c>
      <c r="H453" s="87">
        <v>1.7</v>
      </c>
      <c r="I453" s="88">
        <v>2</v>
      </c>
      <c r="J453" s="87">
        <v>2</v>
      </c>
      <c r="K453" s="86">
        <v>2.5</v>
      </c>
      <c r="L453" s="85">
        <v>2.7</v>
      </c>
    </row>
    <row r="454" spans="1:12" hidden="1" outlineLevel="1" x14ac:dyDescent="0.2">
      <c r="B454" s="52" t="s">
        <v>132</v>
      </c>
      <c r="C454" s="52" t="s">
        <v>143</v>
      </c>
      <c r="E454" s="79" t="s">
        <v>33</v>
      </c>
      <c r="F454" s="92">
        <v>49500</v>
      </c>
      <c r="G454" s="93">
        <v>53000</v>
      </c>
      <c r="H454" s="94">
        <v>56000</v>
      </c>
      <c r="I454" s="95">
        <v>58000</v>
      </c>
      <c r="J454" s="94">
        <v>59500</v>
      </c>
      <c r="K454" s="93">
        <v>63500</v>
      </c>
      <c r="L454" s="92">
        <v>67000</v>
      </c>
    </row>
    <row r="455" spans="1:12" hidden="1" outlineLevel="1" x14ac:dyDescent="0.2"/>
    <row r="456" spans="1:12" collapsed="1" x14ac:dyDescent="0.2">
      <c r="A456" s="73">
        <v>48</v>
      </c>
      <c r="B456" s="52" t="s">
        <v>133</v>
      </c>
      <c r="C456" s="52" t="s">
        <v>142</v>
      </c>
      <c r="E456" s="179" t="s">
        <v>242</v>
      </c>
    </row>
    <row r="457" spans="1:12" hidden="1" outlineLevel="1" x14ac:dyDescent="0.2">
      <c r="B457" s="52" t="s">
        <v>133</v>
      </c>
      <c r="C457" s="52" t="s">
        <v>142</v>
      </c>
      <c r="E457" s="79" t="s">
        <v>103</v>
      </c>
      <c r="F457" s="80">
        <v>0.28499999999999998</v>
      </c>
      <c r="G457" s="81">
        <v>0.34</v>
      </c>
      <c r="H457" s="82">
        <v>0.40500000000000003</v>
      </c>
      <c r="I457" s="83">
        <v>0.44</v>
      </c>
      <c r="J457" s="82">
        <v>0.47</v>
      </c>
      <c r="K457" s="81">
        <v>0.54500000000000004</v>
      </c>
      <c r="L457" s="80">
        <v>0.60499999999999998</v>
      </c>
    </row>
    <row r="458" spans="1:12" hidden="1" outlineLevel="1" x14ac:dyDescent="0.2">
      <c r="B458" s="52" t="s">
        <v>133</v>
      </c>
      <c r="C458" s="52" t="s">
        <v>142</v>
      </c>
      <c r="E458" s="79" t="s">
        <v>104</v>
      </c>
      <c r="F458" s="83"/>
      <c r="G458" s="83"/>
      <c r="H458" s="82">
        <v>2.5000000000000001E-2</v>
      </c>
      <c r="I458" s="83">
        <v>0.04</v>
      </c>
      <c r="J458" s="82">
        <v>5.5E-2</v>
      </c>
      <c r="K458" s="81">
        <v>9.5000000000000001E-2</v>
      </c>
      <c r="L458" s="80">
        <v>0.13</v>
      </c>
    </row>
    <row r="459" spans="1:12" hidden="1" outlineLevel="1" x14ac:dyDescent="0.2">
      <c r="B459" s="52" t="s">
        <v>133</v>
      </c>
      <c r="C459" s="52" t="s">
        <v>142</v>
      </c>
      <c r="E459" s="79" t="s">
        <v>105</v>
      </c>
      <c r="F459" s="83"/>
      <c r="G459" s="83"/>
      <c r="H459" s="82">
        <v>0.15</v>
      </c>
      <c r="I459" s="83">
        <v>0.17</v>
      </c>
      <c r="J459" s="82">
        <v>0.19500000000000001</v>
      </c>
      <c r="K459" s="81">
        <v>0.23499999999999999</v>
      </c>
      <c r="L459" s="80">
        <v>0.28000000000000003</v>
      </c>
    </row>
    <row r="460" spans="1:12" hidden="1" outlineLevel="1" x14ac:dyDescent="0.2">
      <c r="B460" s="52" t="s">
        <v>133</v>
      </c>
      <c r="C460" s="52" t="s">
        <v>142</v>
      </c>
      <c r="E460" s="79" t="s">
        <v>106</v>
      </c>
      <c r="F460" s="83"/>
      <c r="G460" s="83"/>
      <c r="H460" s="83"/>
      <c r="I460" s="83">
        <v>0.06</v>
      </c>
      <c r="J460" s="83"/>
      <c r="K460" s="81">
        <v>0.09</v>
      </c>
      <c r="L460" s="80">
        <v>0.105</v>
      </c>
    </row>
    <row r="461" spans="1:12" hidden="1" outlineLevel="1" x14ac:dyDescent="0.2">
      <c r="B461" s="52" t="s">
        <v>133</v>
      </c>
      <c r="C461" s="52" t="s">
        <v>142</v>
      </c>
      <c r="E461" s="79" t="s">
        <v>107</v>
      </c>
      <c r="F461" s="83"/>
      <c r="G461" s="83"/>
      <c r="H461" s="83"/>
      <c r="I461" s="83">
        <v>0.02</v>
      </c>
      <c r="J461" s="83"/>
      <c r="K461" s="81">
        <v>3.5000000000000003E-2</v>
      </c>
      <c r="L461" s="80">
        <v>0.06</v>
      </c>
    </row>
    <row r="462" spans="1:12" hidden="1" outlineLevel="1" x14ac:dyDescent="0.2">
      <c r="B462" s="52" t="s">
        <v>133</v>
      </c>
      <c r="C462" s="52" t="s">
        <v>142</v>
      </c>
      <c r="E462" s="79" t="s">
        <v>108</v>
      </c>
      <c r="F462" s="83"/>
      <c r="G462" s="83"/>
      <c r="H462" s="83"/>
      <c r="I462" s="83">
        <v>0.04</v>
      </c>
      <c r="J462" s="83"/>
      <c r="K462" s="81">
        <v>5.5E-2</v>
      </c>
      <c r="L462" s="80">
        <v>6.5000000000000002E-2</v>
      </c>
    </row>
    <row r="463" spans="1:12" hidden="1" outlineLevel="1" x14ac:dyDescent="0.2">
      <c r="B463" s="52" t="s">
        <v>133</v>
      </c>
      <c r="C463" s="52" t="s">
        <v>142</v>
      </c>
      <c r="E463" s="79" t="s">
        <v>109</v>
      </c>
      <c r="F463" s="80">
        <v>0.02</v>
      </c>
      <c r="G463" s="81">
        <v>2.5000000000000001E-2</v>
      </c>
      <c r="H463" s="82">
        <v>3.5000000000000003E-2</v>
      </c>
      <c r="I463" s="83">
        <v>4.4999999999999998E-2</v>
      </c>
      <c r="J463" s="82">
        <v>5.5E-2</v>
      </c>
      <c r="K463" s="83"/>
      <c r="L463" s="83"/>
    </row>
    <row r="464" spans="1:12" hidden="1" outlineLevel="1" x14ac:dyDescent="0.2">
      <c r="B464" s="52" t="s">
        <v>133</v>
      </c>
      <c r="C464" s="52" t="s">
        <v>142</v>
      </c>
      <c r="E464" s="79" t="s">
        <v>110</v>
      </c>
      <c r="F464" s="83"/>
      <c r="G464" s="83"/>
      <c r="H464" s="83"/>
      <c r="I464" s="83">
        <v>0.01</v>
      </c>
      <c r="J464" s="83"/>
      <c r="K464" s="81">
        <v>1.4999999999999999E-2</v>
      </c>
      <c r="L464" s="80">
        <v>0.02</v>
      </c>
    </row>
    <row r="465" spans="1:12" hidden="1" outlineLevel="1" x14ac:dyDescent="0.2">
      <c r="B465" s="52" t="s">
        <v>133</v>
      </c>
      <c r="C465" s="52" t="s">
        <v>142</v>
      </c>
      <c r="E465" s="79" t="s">
        <v>34</v>
      </c>
      <c r="F465" s="83"/>
      <c r="G465" s="83"/>
      <c r="H465" s="82">
        <v>0.09</v>
      </c>
      <c r="I465" s="83">
        <v>0.1</v>
      </c>
      <c r="J465" s="82">
        <v>0.115</v>
      </c>
      <c r="K465" s="81">
        <v>0.155</v>
      </c>
      <c r="L465" s="80">
        <v>0.19</v>
      </c>
    </row>
    <row r="466" spans="1:12" hidden="1" outlineLevel="1" x14ac:dyDescent="0.2">
      <c r="B466" s="52" t="s">
        <v>133</v>
      </c>
      <c r="C466" s="52" t="s">
        <v>142</v>
      </c>
      <c r="E466" s="79" t="s">
        <v>4</v>
      </c>
      <c r="F466" s="85">
        <v>3</v>
      </c>
      <c r="G466" s="86">
        <v>3.5</v>
      </c>
      <c r="H466" s="87">
        <v>4.5</v>
      </c>
      <c r="I466" s="88">
        <v>5</v>
      </c>
      <c r="J466" s="87">
        <v>6</v>
      </c>
      <c r="K466" s="86">
        <v>8</v>
      </c>
      <c r="L466" s="85">
        <v>10</v>
      </c>
    </row>
    <row r="467" spans="1:12" hidden="1" outlineLevel="1" x14ac:dyDescent="0.2">
      <c r="B467" s="52" t="s">
        <v>133</v>
      </c>
      <c r="C467" s="52" t="s">
        <v>142</v>
      </c>
      <c r="E467" s="84" t="s">
        <v>14</v>
      </c>
      <c r="F467" s="85">
        <v>1.3</v>
      </c>
      <c r="G467" s="86">
        <v>1.5</v>
      </c>
      <c r="H467" s="87">
        <v>2</v>
      </c>
      <c r="I467" s="88">
        <v>2.5</v>
      </c>
      <c r="J467" s="87">
        <v>2.5</v>
      </c>
      <c r="K467" s="86">
        <v>3.5</v>
      </c>
      <c r="L467" s="85">
        <v>4</v>
      </c>
    </row>
    <row r="468" spans="1:12" hidden="1" outlineLevel="1" x14ac:dyDescent="0.2">
      <c r="B468" s="52" t="s">
        <v>133</v>
      </c>
      <c r="C468" s="52" t="s">
        <v>142</v>
      </c>
      <c r="E468" s="79" t="s">
        <v>33</v>
      </c>
      <c r="F468" s="92">
        <v>43500</v>
      </c>
      <c r="G468" s="93">
        <v>52500</v>
      </c>
      <c r="H468" s="94">
        <v>61000</v>
      </c>
      <c r="I468" s="95">
        <v>65500</v>
      </c>
      <c r="J468" s="94">
        <v>67000</v>
      </c>
      <c r="K468" s="93">
        <v>79000</v>
      </c>
      <c r="L468" s="92">
        <v>87000</v>
      </c>
    </row>
    <row r="469" spans="1:12" hidden="1" outlineLevel="1" x14ac:dyDescent="0.2"/>
    <row r="470" spans="1:12" collapsed="1" x14ac:dyDescent="0.2">
      <c r="A470" s="73">
        <v>269</v>
      </c>
      <c r="B470" s="52" t="s">
        <v>133</v>
      </c>
      <c r="C470" s="52" t="s">
        <v>143</v>
      </c>
      <c r="E470" s="179" t="s">
        <v>244</v>
      </c>
    </row>
    <row r="471" spans="1:12" hidden="1" outlineLevel="1" x14ac:dyDescent="0.2">
      <c r="B471" s="52" t="s">
        <v>133</v>
      </c>
      <c r="C471" s="52" t="s">
        <v>143</v>
      </c>
      <c r="E471" s="79" t="s">
        <v>103</v>
      </c>
      <c r="F471" s="80">
        <v>0.28499999999999998</v>
      </c>
      <c r="G471" s="81">
        <v>0.34</v>
      </c>
      <c r="H471" s="82">
        <v>0.40500000000000003</v>
      </c>
      <c r="I471" s="83">
        <v>0.44</v>
      </c>
      <c r="J471" s="82">
        <v>0.47</v>
      </c>
      <c r="K471" s="81">
        <v>0.54500000000000004</v>
      </c>
      <c r="L471" s="80">
        <v>0.60499999999999998</v>
      </c>
    </row>
    <row r="472" spans="1:12" hidden="1" outlineLevel="1" x14ac:dyDescent="0.2">
      <c r="B472" s="52" t="s">
        <v>133</v>
      </c>
      <c r="C472" s="52" t="s">
        <v>143</v>
      </c>
      <c r="E472" s="79" t="s">
        <v>104</v>
      </c>
      <c r="F472" s="83"/>
      <c r="G472" s="83"/>
      <c r="H472" s="82">
        <v>2.5000000000000001E-2</v>
      </c>
      <c r="I472" s="83">
        <v>0.04</v>
      </c>
      <c r="J472" s="82">
        <v>5.5E-2</v>
      </c>
      <c r="K472" s="81">
        <v>9.5000000000000001E-2</v>
      </c>
      <c r="L472" s="80">
        <v>0.13</v>
      </c>
    </row>
    <row r="473" spans="1:12" hidden="1" outlineLevel="1" x14ac:dyDescent="0.2">
      <c r="B473" s="52" t="s">
        <v>133</v>
      </c>
      <c r="C473" s="52" t="s">
        <v>143</v>
      </c>
      <c r="E473" s="79" t="s">
        <v>105</v>
      </c>
      <c r="F473" s="83"/>
      <c r="G473" s="83"/>
      <c r="H473" s="82">
        <v>0.15</v>
      </c>
      <c r="I473" s="83">
        <v>0.17</v>
      </c>
      <c r="J473" s="82">
        <v>0.19500000000000001</v>
      </c>
      <c r="K473" s="81">
        <v>0.23499999999999999</v>
      </c>
      <c r="L473" s="80">
        <v>0.28000000000000003</v>
      </c>
    </row>
    <row r="474" spans="1:12" hidden="1" outlineLevel="1" x14ac:dyDescent="0.2">
      <c r="B474" s="52" t="s">
        <v>133</v>
      </c>
      <c r="C474" s="52" t="s">
        <v>143</v>
      </c>
      <c r="E474" s="79" t="s">
        <v>106</v>
      </c>
      <c r="F474" s="83"/>
      <c r="G474" s="83"/>
      <c r="H474" s="83"/>
      <c r="I474" s="83">
        <v>0.06</v>
      </c>
      <c r="J474" s="83"/>
      <c r="K474" s="81">
        <v>0.09</v>
      </c>
      <c r="L474" s="80">
        <v>0.105</v>
      </c>
    </row>
    <row r="475" spans="1:12" hidden="1" outlineLevel="1" x14ac:dyDescent="0.2">
      <c r="B475" s="52" t="s">
        <v>133</v>
      </c>
      <c r="C475" s="52" t="s">
        <v>143</v>
      </c>
      <c r="E475" s="79" t="s">
        <v>107</v>
      </c>
      <c r="F475" s="83"/>
      <c r="G475" s="83"/>
      <c r="H475" s="83"/>
      <c r="I475" s="83">
        <v>0.02</v>
      </c>
      <c r="J475" s="83"/>
      <c r="K475" s="81">
        <v>3.5000000000000003E-2</v>
      </c>
      <c r="L475" s="80">
        <v>0.06</v>
      </c>
    </row>
    <row r="476" spans="1:12" hidden="1" outlineLevel="1" x14ac:dyDescent="0.2">
      <c r="B476" s="52" t="s">
        <v>133</v>
      </c>
      <c r="C476" s="52" t="s">
        <v>143</v>
      </c>
      <c r="E476" s="79" t="s">
        <v>108</v>
      </c>
      <c r="F476" s="83"/>
      <c r="G476" s="83"/>
      <c r="H476" s="83"/>
      <c r="I476" s="83">
        <v>0.04</v>
      </c>
      <c r="J476" s="83"/>
      <c r="K476" s="81">
        <v>5.5E-2</v>
      </c>
      <c r="L476" s="80">
        <v>6.5000000000000002E-2</v>
      </c>
    </row>
    <row r="477" spans="1:12" hidden="1" outlineLevel="1" x14ac:dyDescent="0.2">
      <c r="B477" s="52" t="s">
        <v>133</v>
      </c>
      <c r="C477" s="52" t="s">
        <v>143</v>
      </c>
      <c r="E477" s="79" t="s">
        <v>109</v>
      </c>
      <c r="F477" s="80">
        <v>0.02</v>
      </c>
      <c r="G477" s="81">
        <v>2.5000000000000001E-2</v>
      </c>
      <c r="H477" s="82">
        <v>3.5000000000000003E-2</v>
      </c>
      <c r="I477" s="83">
        <v>4.4999999999999998E-2</v>
      </c>
      <c r="J477" s="82">
        <v>5.5E-2</v>
      </c>
      <c r="K477" s="83"/>
      <c r="L477" s="83"/>
    </row>
    <row r="478" spans="1:12" hidden="1" outlineLevel="1" x14ac:dyDescent="0.2">
      <c r="B478" s="52" t="s">
        <v>133</v>
      </c>
      <c r="C478" s="52" t="s">
        <v>143</v>
      </c>
      <c r="E478" s="79" t="s">
        <v>110</v>
      </c>
      <c r="F478" s="83"/>
      <c r="G478" s="83"/>
      <c r="H478" s="83"/>
      <c r="I478" s="83">
        <v>0.01</v>
      </c>
      <c r="J478" s="83"/>
      <c r="K478" s="81">
        <v>1.4999999999999999E-2</v>
      </c>
      <c r="L478" s="80">
        <v>0.02</v>
      </c>
    </row>
    <row r="479" spans="1:12" hidden="1" outlineLevel="1" x14ac:dyDescent="0.2">
      <c r="B479" s="52" t="s">
        <v>133</v>
      </c>
      <c r="C479" s="52" t="s">
        <v>143</v>
      </c>
      <c r="E479" s="79" t="s">
        <v>34</v>
      </c>
      <c r="F479" s="83"/>
      <c r="G479" s="83"/>
      <c r="H479" s="82">
        <v>0.09</v>
      </c>
      <c r="I479" s="83">
        <v>0.1</v>
      </c>
      <c r="J479" s="82">
        <v>0.115</v>
      </c>
      <c r="K479" s="81">
        <v>0.155</v>
      </c>
      <c r="L479" s="80">
        <v>0.19</v>
      </c>
    </row>
    <row r="480" spans="1:12" hidden="1" outlineLevel="1" x14ac:dyDescent="0.2">
      <c r="B480" s="52" t="s">
        <v>133</v>
      </c>
      <c r="C480" s="52" t="s">
        <v>143</v>
      </c>
      <c r="E480" s="79" t="s">
        <v>4</v>
      </c>
      <c r="F480" s="85">
        <v>3</v>
      </c>
      <c r="G480" s="86">
        <v>3.5</v>
      </c>
      <c r="H480" s="87">
        <v>4.5</v>
      </c>
      <c r="I480" s="88">
        <v>5</v>
      </c>
      <c r="J480" s="87">
        <v>6</v>
      </c>
      <c r="K480" s="86">
        <v>8</v>
      </c>
      <c r="L480" s="85">
        <v>10</v>
      </c>
    </row>
    <row r="481" spans="1:12" hidden="1" outlineLevel="1" x14ac:dyDescent="0.2">
      <c r="B481" s="52" t="s">
        <v>133</v>
      </c>
      <c r="C481" s="52" t="s">
        <v>143</v>
      </c>
      <c r="E481" s="84" t="s">
        <v>14</v>
      </c>
      <c r="F481" s="85">
        <v>1.3</v>
      </c>
      <c r="G481" s="86">
        <v>1.5</v>
      </c>
      <c r="H481" s="87">
        <v>2</v>
      </c>
      <c r="I481" s="88">
        <v>2.5</v>
      </c>
      <c r="J481" s="87">
        <v>2.5</v>
      </c>
      <c r="K481" s="86">
        <v>3.5</v>
      </c>
      <c r="L481" s="85">
        <v>4</v>
      </c>
    </row>
    <row r="482" spans="1:12" hidden="1" outlineLevel="1" x14ac:dyDescent="0.2">
      <c r="B482" s="52" t="s">
        <v>133</v>
      </c>
      <c r="C482" s="52" t="s">
        <v>143</v>
      </c>
      <c r="E482" s="79" t="s">
        <v>33</v>
      </c>
      <c r="F482" s="92">
        <v>45000</v>
      </c>
      <c r="G482" s="93">
        <v>52000</v>
      </c>
      <c r="H482" s="94">
        <v>56500</v>
      </c>
      <c r="I482" s="95">
        <v>59000</v>
      </c>
      <c r="J482" s="94">
        <v>61000</v>
      </c>
      <c r="K482" s="93">
        <v>67000</v>
      </c>
      <c r="L482" s="92">
        <v>77000</v>
      </c>
    </row>
    <row r="483" spans="1:12" hidden="1" outlineLevel="1" x14ac:dyDescent="0.2"/>
    <row r="484" spans="1:12" collapsed="1" x14ac:dyDescent="0.2">
      <c r="A484" s="73">
        <v>47</v>
      </c>
      <c r="B484" s="52" t="s">
        <v>22</v>
      </c>
      <c r="C484" s="52" t="s">
        <v>142</v>
      </c>
      <c r="E484" s="179" t="s">
        <v>245</v>
      </c>
    </row>
    <row r="485" spans="1:12" hidden="1" outlineLevel="1" x14ac:dyDescent="0.2">
      <c r="B485" s="52" t="s">
        <v>22</v>
      </c>
      <c r="C485" s="52" t="s">
        <v>142</v>
      </c>
      <c r="E485" s="79" t="s">
        <v>103</v>
      </c>
      <c r="F485" s="80">
        <v>0.40500000000000003</v>
      </c>
      <c r="G485" s="81">
        <v>0.45</v>
      </c>
      <c r="H485" s="82">
        <v>0.5</v>
      </c>
      <c r="I485" s="83">
        <v>0.52</v>
      </c>
      <c r="J485" s="82">
        <v>0.53500000000000003</v>
      </c>
      <c r="K485" s="81">
        <v>0.59</v>
      </c>
      <c r="L485" s="80">
        <v>0.61</v>
      </c>
    </row>
    <row r="486" spans="1:12" hidden="1" outlineLevel="1" x14ac:dyDescent="0.2">
      <c r="B486" s="52" t="s">
        <v>22</v>
      </c>
      <c r="C486" s="52" t="s">
        <v>142</v>
      </c>
      <c r="E486" s="79" t="s">
        <v>104</v>
      </c>
      <c r="F486" s="83"/>
      <c r="G486" s="83"/>
      <c r="H486" s="82">
        <v>0.02</v>
      </c>
      <c r="I486" s="83">
        <v>2.5000000000000001E-2</v>
      </c>
      <c r="J486" s="82">
        <v>0.03</v>
      </c>
      <c r="K486" s="81">
        <v>4.4999999999999998E-2</v>
      </c>
      <c r="L486" s="80">
        <v>0.06</v>
      </c>
    </row>
    <row r="487" spans="1:12" hidden="1" outlineLevel="1" x14ac:dyDescent="0.2">
      <c r="B487" s="52" t="s">
        <v>22</v>
      </c>
      <c r="C487" s="52" t="s">
        <v>142</v>
      </c>
      <c r="E487" s="79" t="s">
        <v>105</v>
      </c>
      <c r="F487" s="83"/>
      <c r="G487" s="83"/>
      <c r="H487" s="82">
        <v>0.105</v>
      </c>
      <c r="I487" s="83">
        <v>0.115</v>
      </c>
      <c r="J487" s="82">
        <v>0.125</v>
      </c>
      <c r="K487" s="81">
        <v>0.155</v>
      </c>
      <c r="L487" s="80">
        <v>0.18</v>
      </c>
    </row>
    <row r="488" spans="1:12" hidden="1" outlineLevel="1" x14ac:dyDescent="0.2">
      <c r="B488" s="52" t="s">
        <v>22</v>
      </c>
      <c r="C488" s="52" t="s">
        <v>142</v>
      </c>
      <c r="E488" s="79" t="s">
        <v>106</v>
      </c>
      <c r="F488" s="83"/>
      <c r="G488" s="83"/>
      <c r="H488" s="83"/>
      <c r="I488" s="83">
        <v>0.06</v>
      </c>
      <c r="J488" s="83"/>
      <c r="K488" s="81">
        <v>8.5000000000000006E-2</v>
      </c>
      <c r="L488" s="80">
        <v>0.105</v>
      </c>
    </row>
    <row r="489" spans="1:12" hidden="1" outlineLevel="1" x14ac:dyDescent="0.2">
      <c r="B489" s="52" t="s">
        <v>22</v>
      </c>
      <c r="C489" s="52" t="s">
        <v>142</v>
      </c>
      <c r="E489" s="79" t="s">
        <v>107</v>
      </c>
      <c r="F489" s="83"/>
      <c r="G489" s="83"/>
      <c r="H489" s="83"/>
      <c r="I489" s="83">
        <v>0.02</v>
      </c>
      <c r="J489" s="83"/>
      <c r="K489" s="81">
        <v>3.5000000000000003E-2</v>
      </c>
      <c r="L489" s="80">
        <v>5.5E-2</v>
      </c>
    </row>
    <row r="490" spans="1:12" hidden="1" outlineLevel="1" x14ac:dyDescent="0.2">
      <c r="B490" s="52" t="s">
        <v>22</v>
      </c>
      <c r="C490" s="52" t="s">
        <v>142</v>
      </c>
      <c r="E490" s="79" t="s">
        <v>108</v>
      </c>
      <c r="F490" s="83"/>
      <c r="G490" s="83"/>
      <c r="H490" s="83"/>
      <c r="I490" s="83">
        <v>0.05</v>
      </c>
      <c r="J490" s="83"/>
      <c r="K490" s="81">
        <v>7.0000000000000007E-2</v>
      </c>
      <c r="L490" s="80">
        <v>0.09</v>
      </c>
    </row>
    <row r="491" spans="1:12" hidden="1" outlineLevel="1" x14ac:dyDescent="0.2">
      <c r="B491" s="52" t="s">
        <v>22</v>
      </c>
      <c r="C491" s="52" t="s">
        <v>142</v>
      </c>
      <c r="E491" s="79" t="s">
        <v>109</v>
      </c>
      <c r="F491" s="80">
        <v>3.5000000000000003E-2</v>
      </c>
      <c r="G491" s="81">
        <v>0.04</v>
      </c>
      <c r="H491" s="82">
        <v>0.05</v>
      </c>
      <c r="I491" s="83">
        <v>5.5E-2</v>
      </c>
      <c r="J491" s="82">
        <v>0.06</v>
      </c>
      <c r="K491" s="83"/>
      <c r="L491" s="83"/>
    </row>
    <row r="492" spans="1:12" hidden="1" outlineLevel="1" x14ac:dyDescent="0.2">
      <c r="B492" s="52" t="s">
        <v>22</v>
      </c>
      <c r="C492" s="52" t="s">
        <v>142</v>
      </c>
      <c r="E492" s="79" t="s">
        <v>110</v>
      </c>
      <c r="F492" s="83"/>
      <c r="G492" s="83"/>
      <c r="H492" s="83"/>
      <c r="I492" s="83">
        <v>0.01</v>
      </c>
      <c r="J492" s="83"/>
      <c r="K492" s="81">
        <v>1.4999999999999999E-2</v>
      </c>
      <c r="L492" s="80">
        <v>0.02</v>
      </c>
    </row>
    <row r="493" spans="1:12" hidden="1" outlineLevel="1" x14ac:dyDescent="0.2">
      <c r="B493" s="52" t="s">
        <v>22</v>
      </c>
      <c r="C493" s="52" t="s">
        <v>142</v>
      </c>
      <c r="E493" s="79" t="s">
        <v>34</v>
      </c>
      <c r="F493" s="83"/>
      <c r="G493" s="83"/>
      <c r="H493" s="82">
        <v>6.5000000000000002E-2</v>
      </c>
      <c r="I493" s="83">
        <v>7.0000000000000007E-2</v>
      </c>
      <c r="J493" s="82">
        <v>7.4999999999999997E-2</v>
      </c>
      <c r="K493" s="81">
        <v>0.1</v>
      </c>
      <c r="L493" s="80">
        <v>0.11</v>
      </c>
    </row>
    <row r="494" spans="1:12" hidden="1" outlineLevel="1" x14ac:dyDescent="0.2">
      <c r="B494" s="52" t="s">
        <v>22</v>
      </c>
      <c r="C494" s="52" t="s">
        <v>142</v>
      </c>
      <c r="E494" s="79" t="s">
        <v>4</v>
      </c>
      <c r="F494" s="85">
        <v>13.5</v>
      </c>
      <c r="G494" s="86">
        <v>14.5</v>
      </c>
      <c r="H494" s="87">
        <v>16</v>
      </c>
      <c r="I494" s="88">
        <v>16.5</v>
      </c>
      <c r="J494" s="87">
        <v>17</v>
      </c>
      <c r="K494" s="86">
        <v>18</v>
      </c>
      <c r="L494" s="85">
        <v>19</v>
      </c>
    </row>
    <row r="495" spans="1:12" hidden="1" outlineLevel="1" x14ac:dyDescent="0.2">
      <c r="B495" s="52" t="s">
        <v>22</v>
      </c>
      <c r="C495" s="52" t="s">
        <v>142</v>
      </c>
      <c r="E495" s="79" t="s">
        <v>14</v>
      </c>
      <c r="F495" s="85">
        <v>7</v>
      </c>
      <c r="G495" s="86">
        <v>7.5</v>
      </c>
      <c r="H495" s="87">
        <v>8.5</v>
      </c>
      <c r="I495" s="88">
        <v>9</v>
      </c>
      <c r="J495" s="87">
        <v>9</v>
      </c>
      <c r="K495" s="86">
        <v>10</v>
      </c>
      <c r="L495" s="85">
        <v>10.5</v>
      </c>
    </row>
    <row r="496" spans="1:12" hidden="1" outlineLevel="1" x14ac:dyDescent="0.2">
      <c r="B496" s="52" t="s">
        <v>22</v>
      </c>
      <c r="C496" s="52" t="s">
        <v>142</v>
      </c>
      <c r="E496" s="79" t="s">
        <v>0</v>
      </c>
      <c r="F496" s="85">
        <v>19</v>
      </c>
      <c r="G496" s="86">
        <v>20.5</v>
      </c>
      <c r="H496" s="87">
        <v>22.5</v>
      </c>
      <c r="I496" s="88">
        <v>23</v>
      </c>
      <c r="J496" s="87">
        <v>23.5</v>
      </c>
      <c r="K496" s="86">
        <v>25</v>
      </c>
      <c r="L496" s="85">
        <v>26</v>
      </c>
    </row>
    <row r="497" spans="1:12" hidden="1" outlineLevel="1" x14ac:dyDescent="0.2">
      <c r="B497" s="52" t="s">
        <v>22</v>
      </c>
      <c r="C497" s="52" t="s">
        <v>142</v>
      </c>
      <c r="E497" s="79" t="s">
        <v>33</v>
      </c>
      <c r="F497" s="92">
        <v>53500</v>
      </c>
      <c r="G497" s="93">
        <v>57000</v>
      </c>
      <c r="H497" s="94">
        <v>62500</v>
      </c>
      <c r="I497" s="95">
        <v>64000</v>
      </c>
      <c r="J497" s="94">
        <v>66000</v>
      </c>
      <c r="K497" s="93">
        <v>72000</v>
      </c>
      <c r="L497" s="92">
        <v>76000</v>
      </c>
    </row>
    <row r="498" spans="1:12" hidden="1" outlineLevel="1" x14ac:dyDescent="0.2"/>
    <row r="499" spans="1:12" collapsed="1" x14ac:dyDescent="0.2">
      <c r="A499" s="73">
        <v>96</v>
      </c>
      <c r="B499" s="52" t="s">
        <v>22</v>
      </c>
      <c r="C499" s="52" t="s">
        <v>143</v>
      </c>
      <c r="E499" s="179" t="s">
        <v>246</v>
      </c>
    </row>
    <row r="500" spans="1:12" hidden="1" outlineLevel="1" x14ac:dyDescent="0.2">
      <c r="B500" s="52" t="s">
        <v>22</v>
      </c>
      <c r="C500" s="52" t="s">
        <v>143</v>
      </c>
      <c r="E500" s="79" t="s">
        <v>103</v>
      </c>
      <c r="F500" s="80">
        <v>0.40500000000000003</v>
      </c>
      <c r="G500" s="81">
        <v>0.45</v>
      </c>
      <c r="H500" s="82">
        <v>0.5</v>
      </c>
      <c r="I500" s="83">
        <v>0.52</v>
      </c>
      <c r="J500" s="82">
        <v>0.53500000000000003</v>
      </c>
      <c r="K500" s="81">
        <v>0.59</v>
      </c>
      <c r="L500" s="80">
        <v>0.61</v>
      </c>
    </row>
    <row r="501" spans="1:12" hidden="1" outlineLevel="1" x14ac:dyDescent="0.2">
      <c r="B501" s="52" t="s">
        <v>22</v>
      </c>
      <c r="C501" s="52" t="s">
        <v>143</v>
      </c>
      <c r="E501" s="79" t="s">
        <v>104</v>
      </c>
      <c r="F501" s="83"/>
      <c r="G501" s="83"/>
      <c r="H501" s="82">
        <v>0.02</v>
      </c>
      <c r="I501" s="83">
        <v>2.5000000000000001E-2</v>
      </c>
      <c r="J501" s="82">
        <v>0.03</v>
      </c>
      <c r="K501" s="81">
        <v>4.4999999999999998E-2</v>
      </c>
      <c r="L501" s="80">
        <v>0.06</v>
      </c>
    </row>
    <row r="502" spans="1:12" hidden="1" outlineLevel="1" x14ac:dyDescent="0.2">
      <c r="B502" s="52" t="s">
        <v>22</v>
      </c>
      <c r="C502" s="52" t="s">
        <v>143</v>
      </c>
      <c r="E502" s="79" t="s">
        <v>105</v>
      </c>
      <c r="F502" s="83"/>
      <c r="G502" s="83"/>
      <c r="H502" s="82">
        <v>0.105</v>
      </c>
      <c r="I502" s="83">
        <v>0.115</v>
      </c>
      <c r="J502" s="82">
        <v>0.125</v>
      </c>
      <c r="K502" s="81">
        <v>0.155</v>
      </c>
      <c r="L502" s="80">
        <v>0.18</v>
      </c>
    </row>
    <row r="503" spans="1:12" hidden="1" outlineLevel="1" x14ac:dyDescent="0.2">
      <c r="B503" s="52" t="s">
        <v>22</v>
      </c>
      <c r="C503" s="52" t="s">
        <v>143</v>
      </c>
      <c r="E503" s="79" t="s">
        <v>106</v>
      </c>
      <c r="F503" s="83"/>
      <c r="G503" s="83"/>
      <c r="H503" s="83"/>
      <c r="I503" s="83">
        <v>0.06</v>
      </c>
      <c r="J503" s="83"/>
      <c r="K503" s="81">
        <v>8.5000000000000006E-2</v>
      </c>
      <c r="L503" s="80">
        <v>0.105</v>
      </c>
    </row>
    <row r="504" spans="1:12" hidden="1" outlineLevel="1" x14ac:dyDescent="0.2">
      <c r="B504" s="52" t="s">
        <v>22</v>
      </c>
      <c r="C504" s="52" t="s">
        <v>143</v>
      </c>
      <c r="E504" s="79" t="s">
        <v>107</v>
      </c>
      <c r="F504" s="83"/>
      <c r="G504" s="83"/>
      <c r="H504" s="83"/>
      <c r="I504" s="83">
        <v>0.02</v>
      </c>
      <c r="J504" s="83"/>
      <c r="K504" s="81">
        <v>3.5000000000000003E-2</v>
      </c>
      <c r="L504" s="80">
        <v>5.5E-2</v>
      </c>
    </row>
    <row r="505" spans="1:12" hidden="1" outlineLevel="1" x14ac:dyDescent="0.2">
      <c r="B505" s="52" t="s">
        <v>22</v>
      </c>
      <c r="C505" s="52" t="s">
        <v>143</v>
      </c>
      <c r="E505" s="79" t="s">
        <v>108</v>
      </c>
      <c r="F505" s="83"/>
      <c r="G505" s="83"/>
      <c r="H505" s="83"/>
      <c r="I505" s="83">
        <v>0.05</v>
      </c>
      <c r="J505" s="83"/>
      <c r="K505" s="81">
        <v>7.0000000000000007E-2</v>
      </c>
      <c r="L505" s="80">
        <v>0.09</v>
      </c>
    </row>
    <row r="506" spans="1:12" hidden="1" outlineLevel="1" x14ac:dyDescent="0.2">
      <c r="B506" s="52" t="s">
        <v>22</v>
      </c>
      <c r="C506" s="52" t="s">
        <v>143</v>
      </c>
      <c r="E506" s="79" t="s">
        <v>109</v>
      </c>
      <c r="F506" s="80">
        <v>3.5000000000000003E-2</v>
      </c>
      <c r="G506" s="81">
        <v>0.04</v>
      </c>
      <c r="H506" s="82">
        <v>0.05</v>
      </c>
      <c r="I506" s="83">
        <v>5.5E-2</v>
      </c>
      <c r="J506" s="82">
        <v>0.06</v>
      </c>
      <c r="K506" s="83"/>
      <c r="L506" s="83"/>
    </row>
    <row r="507" spans="1:12" hidden="1" outlineLevel="1" x14ac:dyDescent="0.2">
      <c r="B507" s="52" t="s">
        <v>22</v>
      </c>
      <c r="C507" s="52" t="s">
        <v>143</v>
      </c>
      <c r="E507" s="79" t="s">
        <v>110</v>
      </c>
      <c r="F507" s="83"/>
      <c r="G507" s="83"/>
      <c r="H507" s="83"/>
      <c r="I507" s="83">
        <v>0.01</v>
      </c>
      <c r="J507" s="83"/>
      <c r="K507" s="81">
        <v>1.4999999999999999E-2</v>
      </c>
      <c r="L507" s="80">
        <v>0.02</v>
      </c>
    </row>
    <row r="508" spans="1:12" hidden="1" outlineLevel="1" x14ac:dyDescent="0.2">
      <c r="B508" s="52" t="s">
        <v>22</v>
      </c>
      <c r="C508" s="52" t="s">
        <v>143</v>
      </c>
      <c r="E508" s="79" t="s">
        <v>34</v>
      </c>
      <c r="F508" s="83"/>
      <c r="G508" s="83"/>
      <c r="H508" s="82">
        <v>6.5000000000000002E-2</v>
      </c>
      <c r="I508" s="83">
        <v>7.0000000000000007E-2</v>
      </c>
      <c r="J508" s="82">
        <v>7.4999999999999997E-2</v>
      </c>
      <c r="K508" s="81">
        <v>0.1</v>
      </c>
      <c r="L508" s="80">
        <v>0.11</v>
      </c>
    </row>
    <row r="509" spans="1:12" hidden="1" outlineLevel="1" x14ac:dyDescent="0.2">
      <c r="B509" s="52" t="s">
        <v>22</v>
      </c>
      <c r="C509" s="52" t="s">
        <v>143</v>
      </c>
      <c r="E509" s="79" t="s">
        <v>4</v>
      </c>
      <c r="F509" s="85">
        <v>13.5</v>
      </c>
      <c r="G509" s="86">
        <v>14.5</v>
      </c>
      <c r="H509" s="87">
        <v>16</v>
      </c>
      <c r="I509" s="88">
        <v>16.5</v>
      </c>
      <c r="J509" s="87">
        <v>17</v>
      </c>
      <c r="K509" s="86">
        <v>18</v>
      </c>
      <c r="L509" s="85">
        <v>19</v>
      </c>
    </row>
    <row r="510" spans="1:12" hidden="1" outlineLevel="1" x14ac:dyDescent="0.2">
      <c r="B510" s="52" t="s">
        <v>22</v>
      </c>
      <c r="C510" s="52" t="s">
        <v>143</v>
      </c>
      <c r="E510" s="79" t="s">
        <v>14</v>
      </c>
      <c r="F510" s="85">
        <v>7</v>
      </c>
      <c r="G510" s="86">
        <v>7.5</v>
      </c>
      <c r="H510" s="87">
        <v>8.5</v>
      </c>
      <c r="I510" s="88">
        <v>9</v>
      </c>
      <c r="J510" s="87">
        <v>9</v>
      </c>
      <c r="K510" s="86">
        <v>10</v>
      </c>
      <c r="L510" s="85">
        <v>10.5</v>
      </c>
    </row>
    <row r="511" spans="1:12" hidden="1" outlineLevel="1" x14ac:dyDescent="0.2">
      <c r="B511" s="52" t="s">
        <v>22</v>
      </c>
      <c r="C511" s="52" t="s">
        <v>143</v>
      </c>
      <c r="E511" s="79" t="s">
        <v>0</v>
      </c>
      <c r="F511" s="85">
        <v>19</v>
      </c>
      <c r="G511" s="86">
        <v>20.5</v>
      </c>
      <c r="H511" s="87">
        <v>22.5</v>
      </c>
      <c r="I511" s="88">
        <v>23</v>
      </c>
      <c r="J511" s="87">
        <v>23.5</v>
      </c>
      <c r="K511" s="86">
        <v>25</v>
      </c>
      <c r="L511" s="85">
        <v>26</v>
      </c>
    </row>
    <row r="512" spans="1:12" hidden="1" outlineLevel="1" x14ac:dyDescent="0.2">
      <c r="B512" s="52" t="s">
        <v>22</v>
      </c>
      <c r="C512" s="52" t="s">
        <v>143</v>
      </c>
      <c r="E512" s="79" t="s">
        <v>33</v>
      </c>
      <c r="F512" s="92">
        <v>43500</v>
      </c>
      <c r="G512" s="93">
        <v>48500</v>
      </c>
      <c r="H512" s="94">
        <v>52500</v>
      </c>
      <c r="I512" s="95">
        <v>54000</v>
      </c>
      <c r="J512" s="94">
        <v>56000</v>
      </c>
      <c r="K512" s="93">
        <v>59500</v>
      </c>
      <c r="L512" s="92">
        <v>63500</v>
      </c>
    </row>
    <row r="513" spans="1:12" hidden="1" outlineLevel="1" x14ac:dyDescent="0.2"/>
    <row r="514" spans="1:12" collapsed="1" x14ac:dyDescent="0.2">
      <c r="A514" s="73">
        <v>78</v>
      </c>
      <c r="B514" s="52" t="s">
        <v>144</v>
      </c>
      <c r="C514" s="52" t="s">
        <v>142</v>
      </c>
      <c r="E514" s="179" t="s">
        <v>247</v>
      </c>
    </row>
    <row r="515" spans="1:12" hidden="1" outlineLevel="1" x14ac:dyDescent="0.2">
      <c r="B515" s="52" t="s">
        <v>144</v>
      </c>
      <c r="C515" s="52" t="s">
        <v>142</v>
      </c>
      <c r="E515" s="79" t="s">
        <v>103</v>
      </c>
      <c r="F515" s="80">
        <v>0.16</v>
      </c>
      <c r="G515" s="81">
        <v>0.19500000000000001</v>
      </c>
      <c r="H515" s="82">
        <v>0.245</v>
      </c>
      <c r="I515" s="83">
        <v>0.26</v>
      </c>
      <c r="J515" s="82">
        <v>0.28999999999999998</v>
      </c>
      <c r="K515" s="81">
        <v>0.34</v>
      </c>
      <c r="L515" s="80">
        <v>0.38</v>
      </c>
    </row>
    <row r="516" spans="1:12" hidden="1" outlineLevel="1" x14ac:dyDescent="0.2">
      <c r="B516" s="52" t="s">
        <v>144</v>
      </c>
      <c r="C516" s="52" t="s">
        <v>142</v>
      </c>
      <c r="E516" s="79" t="s">
        <v>104</v>
      </c>
      <c r="F516" s="83"/>
      <c r="G516" s="83"/>
      <c r="H516" s="82">
        <v>5.0000000000000001E-3</v>
      </c>
      <c r="I516" s="83">
        <v>0.01</v>
      </c>
      <c r="J516" s="82">
        <v>1.4999999999999999E-2</v>
      </c>
      <c r="K516" s="81">
        <v>0.03</v>
      </c>
      <c r="L516" s="80">
        <v>0.05</v>
      </c>
    </row>
    <row r="517" spans="1:12" hidden="1" outlineLevel="1" x14ac:dyDescent="0.2">
      <c r="B517" s="52" t="s">
        <v>144</v>
      </c>
      <c r="C517" s="52" t="s">
        <v>142</v>
      </c>
      <c r="E517" s="79" t="s">
        <v>105</v>
      </c>
      <c r="F517" s="83"/>
      <c r="G517" s="83"/>
      <c r="H517" s="82">
        <v>0.29499999999999998</v>
      </c>
      <c r="I517" s="83">
        <v>0.33500000000000002</v>
      </c>
      <c r="J517" s="82">
        <v>0.36</v>
      </c>
      <c r="K517" s="81">
        <v>0.43</v>
      </c>
      <c r="L517" s="80">
        <v>0.47499999999999998</v>
      </c>
    </row>
    <row r="518" spans="1:12" hidden="1" outlineLevel="1" x14ac:dyDescent="0.2">
      <c r="B518" s="52" t="s">
        <v>144</v>
      </c>
      <c r="C518" s="52" t="s">
        <v>142</v>
      </c>
      <c r="E518" s="79" t="s">
        <v>106</v>
      </c>
      <c r="F518" s="83"/>
      <c r="G518" s="83"/>
      <c r="H518" s="83"/>
      <c r="I518" s="83">
        <v>6.5000000000000002E-2</v>
      </c>
      <c r="J518" s="83"/>
      <c r="K518" s="81">
        <v>9.5000000000000001E-2</v>
      </c>
      <c r="L518" s="80">
        <v>0.115</v>
      </c>
    </row>
    <row r="519" spans="1:12" hidden="1" outlineLevel="1" x14ac:dyDescent="0.2">
      <c r="B519" s="52" t="s">
        <v>144</v>
      </c>
      <c r="C519" s="52" t="s">
        <v>142</v>
      </c>
      <c r="E519" s="79" t="s">
        <v>107</v>
      </c>
      <c r="F519" s="83"/>
      <c r="G519" s="83"/>
      <c r="H519" s="83"/>
      <c r="I519" s="83">
        <v>0.03</v>
      </c>
      <c r="J519" s="83"/>
      <c r="K519" s="81">
        <v>5.5E-2</v>
      </c>
      <c r="L519" s="80">
        <v>0.08</v>
      </c>
    </row>
    <row r="520" spans="1:12" hidden="1" outlineLevel="1" x14ac:dyDescent="0.2">
      <c r="B520" s="52" t="s">
        <v>144</v>
      </c>
      <c r="C520" s="52" t="s">
        <v>142</v>
      </c>
      <c r="E520" s="79" t="s">
        <v>108</v>
      </c>
      <c r="F520" s="83"/>
      <c r="G520" s="83"/>
      <c r="H520" s="83"/>
      <c r="I520" s="83">
        <v>0.05</v>
      </c>
      <c r="J520" s="83"/>
      <c r="K520" s="81">
        <v>7.0000000000000007E-2</v>
      </c>
      <c r="L520" s="80">
        <v>0.09</v>
      </c>
    </row>
    <row r="521" spans="1:12" hidden="1" outlineLevel="1" x14ac:dyDescent="0.2">
      <c r="B521" s="52" t="s">
        <v>144</v>
      </c>
      <c r="C521" s="52" t="s">
        <v>142</v>
      </c>
      <c r="E521" s="79" t="s">
        <v>109</v>
      </c>
      <c r="F521" s="80">
        <v>0.01</v>
      </c>
      <c r="G521" s="81">
        <v>1.4999999999999999E-2</v>
      </c>
      <c r="H521" s="82">
        <v>0.02</v>
      </c>
      <c r="I521" s="83">
        <v>0.02</v>
      </c>
      <c r="J521" s="82">
        <v>2.5000000000000001E-2</v>
      </c>
      <c r="K521" s="83"/>
      <c r="L521" s="83"/>
    </row>
    <row r="522" spans="1:12" hidden="1" outlineLevel="1" x14ac:dyDescent="0.2">
      <c r="B522" s="52" t="s">
        <v>144</v>
      </c>
      <c r="C522" s="52" t="s">
        <v>142</v>
      </c>
      <c r="E522" s="84" t="s">
        <v>110</v>
      </c>
      <c r="F522" s="83"/>
      <c r="G522" s="83"/>
      <c r="H522" s="83"/>
      <c r="I522" s="83">
        <v>0.01</v>
      </c>
      <c r="J522" s="83"/>
      <c r="K522" s="81">
        <v>1.4999999999999999E-2</v>
      </c>
      <c r="L522" s="80">
        <v>0.02</v>
      </c>
    </row>
    <row r="523" spans="1:12" hidden="1" outlineLevel="1" x14ac:dyDescent="0.2">
      <c r="B523" s="52" t="s">
        <v>144</v>
      </c>
      <c r="C523" s="52" t="s">
        <v>142</v>
      </c>
      <c r="E523" s="79" t="s">
        <v>34</v>
      </c>
      <c r="F523" s="83"/>
      <c r="G523" s="83"/>
      <c r="H523" s="82">
        <v>8.5000000000000006E-2</v>
      </c>
      <c r="I523" s="83">
        <v>9.5000000000000001E-2</v>
      </c>
      <c r="J523" s="82">
        <v>0.105</v>
      </c>
      <c r="K523" s="81">
        <v>0.14000000000000001</v>
      </c>
      <c r="L523" s="80">
        <v>0.17499999999999999</v>
      </c>
    </row>
    <row r="524" spans="1:12" hidden="1" outlineLevel="1" x14ac:dyDescent="0.2">
      <c r="B524" s="52" t="s">
        <v>144</v>
      </c>
      <c r="C524" s="52" t="s">
        <v>142</v>
      </c>
      <c r="E524" s="79" t="s">
        <v>4</v>
      </c>
      <c r="F524" s="85">
        <v>13.5</v>
      </c>
      <c r="G524" s="86">
        <v>16</v>
      </c>
      <c r="H524" s="87">
        <v>20</v>
      </c>
      <c r="I524" s="88">
        <v>21.5</v>
      </c>
      <c r="J524" s="87">
        <v>23</v>
      </c>
      <c r="K524" s="86">
        <v>29</v>
      </c>
      <c r="L524" s="85">
        <v>34</v>
      </c>
    </row>
    <row r="525" spans="1:12" hidden="1" outlineLevel="1" x14ac:dyDescent="0.2">
      <c r="B525" s="52" t="s">
        <v>144</v>
      </c>
      <c r="C525" s="52" t="s">
        <v>142</v>
      </c>
      <c r="E525" s="79" t="s">
        <v>14</v>
      </c>
      <c r="F525" s="85">
        <v>3</v>
      </c>
      <c r="G525" s="86">
        <v>3.5</v>
      </c>
      <c r="H525" s="87">
        <v>4.5</v>
      </c>
      <c r="I525" s="88">
        <v>4.5</v>
      </c>
      <c r="J525" s="87">
        <v>5</v>
      </c>
      <c r="K525" s="86">
        <v>6</v>
      </c>
      <c r="L525" s="85">
        <v>7</v>
      </c>
    </row>
    <row r="526" spans="1:12" hidden="1" outlineLevel="1" x14ac:dyDescent="0.2">
      <c r="B526" s="52" t="s">
        <v>144</v>
      </c>
      <c r="C526" s="52" t="s">
        <v>142</v>
      </c>
      <c r="E526" s="79" t="s">
        <v>33</v>
      </c>
      <c r="F526" s="92">
        <v>45500</v>
      </c>
      <c r="G526" s="93">
        <v>55500</v>
      </c>
      <c r="H526" s="94">
        <v>62500</v>
      </c>
      <c r="I526" s="95">
        <v>66000</v>
      </c>
      <c r="J526" s="94">
        <v>69000</v>
      </c>
      <c r="K526" s="93">
        <v>77500</v>
      </c>
      <c r="L526" s="92">
        <v>83000</v>
      </c>
    </row>
    <row r="527" spans="1:12" hidden="1" outlineLevel="1" x14ac:dyDescent="0.2"/>
    <row r="528" spans="1:12" collapsed="1" x14ac:dyDescent="0.2">
      <c r="A528" s="73">
        <v>315</v>
      </c>
      <c r="B528" s="52" t="s">
        <v>144</v>
      </c>
      <c r="C528" s="52" t="s">
        <v>143</v>
      </c>
      <c r="E528" s="179" t="s">
        <v>248</v>
      </c>
    </row>
    <row r="529" spans="1:14" hidden="1" outlineLevel="1" x14ac:dyDescent="0.2">
      <c r="B529" s="52" t="s">
        <v>144</v>
      </c>
      <c r="C529" s="52" t="s">
        <v>143</v>
      </c>
      <c r="E529" s="79" t="s">
        <v>103</v>
      </c>
      <c r="F529" s="80">
        <v>0.16</v>
      </c>
      <c r="G529" s="81">
        <v>0.19500000000000001</v>
      </c>
      <c r="H529" s="82">
        <v>0.245</v>
      </c>
      <c r="I529" s="83">
        <v>0.26</v>
      </c>
      <c r="J529" s="82">
        <v>0.28999999999999998</v>
      </c>
      <c r="K529" s="81">
        <v>0.34</v>
      </c>
      <c r="L529" s="80">
        <v>0.38</v>
      </c>
    </row>
    <row r="530" spans="1:14" hidden="1" outlineLevel="1" x14ac:dyDescent="0.2">
      <c r="B530" s="52" t="s">
        <v>144</v>
      </c>
      <c r="C530" s="52" t="s">
        <v>143</v>
      </c>
      <c r="E530" s="79" t="s">
        <v>104</v>
      </c>
      <c r="F530" s="83"/>
      <c r="G530" s="83"/>
      <c r="H530" s="82">
        <v>5.0000000000000001E-3</v>
      </c>
      <c r="I530" s="83">
        <v>0.01</v>
      </c>
      <c r="J530" s="82">
        <v>1.4999999999999999E-2</v>
      </c>
      <c r="K530" s="81">
        <v>0.03</v>
      </c>
      <c r="L530" s="80">
        <v>0.05</v>
      </c>
    </row>
    <row r="531" spans="1:14" hidden="1" outlineLevel="1" x14ac:dyDescent="0.2">
      <c r="B531" s="52" t="s">
        <v>144</v>
      </c>
      <c r="C531" s="52" t="s">
        <v>143</v>
      </c>
      <c r="E531" s="79" t="s">
        <v>105</v>
      </c>
      <c r="F531" s="83"/>
      <c r="G531" s="83"/>
      <c r="H531" s="82">
        <v>0.29499999999999998</v>
      </c>
      <c r="I531" s="83">
        <v>0.33500000000000002</v>
      </c>
      <c r="J531" s="82">
        <v>0.36</v>
      </c>
      <c r="K531" s="81">
        <v>0.43</v>
      </c>
      <c r="L531" s="80">
        <v>0.47499999999999998</v>
      </c>
    </row>
    <row r="532" spans="1:14" hidden="1" outlineLevel="1" x14ac:dyDescent="0.2">
      <c r="B532" s="52" t="s">
        <v>144</v>
      </c>
      <c r="C532" s="52" t="s">
        <v>143</v>
      </c>
      <c r="E532" s="79" t="s">
        <v>106</v>
      </c>
      <c r="F532" s="83"/>
      <c r="G532" s="83"/>
      <c r="H532" s="83"/>
      <c r="I532" s="83">
        <v>6.5000000000000002E-2</v>
      </c>
      <c r="J532" s="83"/>
      <c r="K532" s="81">
        <v>9.5000000000000001E-2</v>
      </c>
      <c r="L532" s="80">
        <v>0.115</v>
      </c>
    </row>
    <row r="533" spans="1:14" hidden="1" outlineLevel="1" x14ac:dyDescent="0.2">
      <c r="B533" s="52" t="s">
        <v>144</v>
      </c>
      <c r="C533" s="52" t="s">
        <v>143</v>
      </c>
      <c r="E533" s="79" t="s">
        <v>107</v>
      </c>
      <c r="F533" s="83"/>
      <c r="G533" s="83"/>
      <c r="H533" s="83"/>
      <c r="I533" s="83">
        <v>0.03</v>
      </c>
      <c r="J533" s="83"/>
      <c r="K533" s="81">
        <v>5.5E-2</v>
      </c>
      <c r="L533" s="80">
        <v>0.08</v>
      </c>
    </row>
    <row r="534" spans="1:14" hidden="1" outlineLevel="1" x14ac:dyDescent="0.2">
      <c r="B534" s="52" t="s">
        <v>144</v>
      </c>
      <c r="C534" s="52" t="s">
        <v>143</v>
      </c>
      <c r="E534" s="79" t="s">
        <v>108</v>
      </c>
      <c r="F534" s="83"/>
      <c r="G534" s="83"/>
      <c r="H534" s="83"/>
      <c r="I534" s="83">
        <v>0.05</v>
      </c>
      <c r="J534" s="83"/>
      <c r="K534" s="81">
        <v>7.0000000000000007E-2</v>
      </c>
      <c r="L534" s="80">
        <v>0.09</v>
      </c>
    </row>
    <row r="535" spans="1:14" hidden="1" outlineLevel="1" x14ac:dyDescent="0.2">
      <c r="B535" s="52" t="s">
        <v>144</v>
      </c>
      <c r="C535" s="52" t="s">
        <v>143</v>
      </c>
      <c r="E535" s="79" t="s">
        <v>109</v>
      </c>
      <c r="F535" s="80">
        <v>0.01</v>
      </c>
      <c r="G535" s="81">
        <v>1.4999999999999999E-2</v>
      </c>
      <c r="H535" s="82">
        <v>0.02</v>
      </c>
      <c r="I535" s="83">
        <v>0.02</v>
      </c>
      <c r="J535" s="82">
        <v>2.5000000000000001E-2</v>
      </c>
      <c r="K535" s="83"/>
      <c r="L535" s="83"/>
    </row>
    <row r="536" spans="1:14" hidden="1" outlineLevel="1" x14ac:dyDescent="0.2">
      <c r="B536" s="52" t="s">
        <v>144</v>
      </c>
      <c r="C536" s="52" t="s">
        <v>143</v>
      </c>
      <c r="E536" s="79" t="s">
        <v>110</v>
      </c>
      <c r="F536" s="83"/>
      <c r="G536" s="83"/>
      <c r="H536" s="83"/>
      <c r="I536" s="83">
        <v>0.01</v>
      </c>
      <c r="J536" s="83"/>
      <c r="K536" s="81">
        <v>1.4999999999999999E-2</v>
      </c>
      <c r="L536" s="80">
        <v>0.02</v>
      </c>
    </row>
    <row r="537" spans="1:14" hidden="1" outlineLevel="1" x14ac:dyDescent="0.2">
      <c r="B537" s="52" t="s">
        <v>144</v>
      </c>
      <c r="C537" s="52" t="s">
        <v>143</v>
      </c>
      <c r="E537" s="79" t="s">
        <v>34</v>
      </c>
      <c r="F537" s="83"/>
      <c r="G537" s="83"/>
      <c r="H537" s="82">
        <v>8.5000000000000006E-2</v>
      </c>
      <c r="I537" s="83">
        <v>9.5000000000000001E-2</v>
      </c>
      <c r="J537" s="82">
        <v>0.105</v>
      </c>
      <c r="K537" s="81">
        <v>0.14000000000000001</v>
      </c>
      <c r="L537" s="80">
        <v>0.17499999999999999</v>
      </c>
    </row>
    <row r="538" spans="1:14" hidden="1" outlineLevel="1" x14ac:dyDescent="0.2">
      <c r="B538" s="52" t="s">
        <v>144</v>
      </c>
      <c r="C538" s="52" t="s">
        <v>143</v>
      </c>
      <c r="E538" s="79" t="s">
        <v>4</v>
      </c>
      <c r="F538" s="85">
        <v>13.5</v>
      </c>
      <c r="G538" s="86">
        <v>16</v>
      </c>
      <c r="H538" s="87">
        <v>20</v>
      </c>
      <c r="I538" s="88">
        <v>21.5</v>
      </c>
      <c r="J538" s="87">
        <v>23</v>
      </c>
      <c r="K538" s="86">
        <v>29</v>
      </c>
      <c r="L538" s="85">
        <v>34</v>
      </c>
    </row>
    <row r="539" spans="1:14" hidden="1" outlineLevel="1" x14ac:dyDescent="0.2">
      <c r="B539" s="52" t="s">
        <v>144</v>
      </c>
      <c r="C539" s="52" t="s">
        <v>143</v>
      </c>
      <c r="E539" s="79" t="s">
        <v>14</v>
      </c>
      <c r="F539" s="85">
        <v>3</v>
      </c>
      <c r="G539" s="86">
        <v>3.5</v>
      </c>
      <c r="H539" s="87">
        <v>4.5</v>
      </c>
      <c r="I539" s="88">
        <v>4.5</v>
      </c>
      <c r="J539" s="87">
        <v>5</v>
      </c>
      <c r="K539" s="86">
        <v>6</v>
      </c>
      <c r="L539" s="85">
        <v>7</v>
      </c>
    </row>
    <row r="540" spans="1:14" hidden="1" outlineLevel="1" x14ac:dyDescent="0.2">
      <c r="B540" s="52" t="s">
        <v>144</v>
      </c>
      <c r="C540" s="52" t="s">
        <v>143</v>
      </c>
      <c r="E540" s="79" t="s">
        <v>33</v>
      </c>
      <c r="F540" s="92">
        <v>44000</v>
      </c>
      <c r="G540" s="93">
        <v>52500</v>
      </c>
      <c r="H540" s="94">
        <v>56500</v>
      </c>
      <c r="I540" s="95">
        <v>60000</v>
      </c>
      <c r="J540" s="94">
        <v>62000</v>
      </c>
      <c r="K540" s="93">
        <v>68000</v>
      </c>
      <c r="L540" s="92">
        <v>72500</v>
      </c>
    </row>
    <row r="541" spans="1:14" collapsed="1" x14ac:dyDescent="0.2"/>
    <row r="542" spans="1:14" s="77" customFormat="1" ht="60" x14ac:dyDescent="0.25">
      <c r="A542" s="76" t="s">
        <v>145</v>
      </c>
      <c r="B542" s="76" t="s">
        <v>16</v>
      </c>
      <c r="C542" s="76" t="s">
        <v>146</v>
      </c>
      <c r="D542" s="366" t="s">
        <v>156</v>
      </c>
      <c r="E542" s="366"/>
      <c r="F542" s="78" t="s">
        <v>148</v>
      </c>
      <c r="G542" s="78" t="s">
        <v>149</v>
      </c>
      <c r="H542" s="78" t="s">
        <v>150</v>
      </c>
      <c r="I542" s="78" t="s">
        <v>155</v>
      </c>
      <c r="J542" s="78" t="s">
        <v>154</v>
      </c>
      <c r="K542" s="78" t="s">
        <v>151</v>
      </c>
      <c r="L542" s="78" t="s">
        <v>152</v>
      </c>
      <c r="N542" s="77" t="s">
        <v>153</v>
      </c>
    </row>
    <row r="543" spans="1:14" x14ac:dyDescent="0.2">
      <c r="A543" s="89">
        <v>1721</v>
      </c>
      <c r="B543" s="52" t="s">
        <v>21</v>
      </c>
      <c r="C543" s="52" t="s">
        <v>142</v>
      </c>
      <c r="D543" s="89"/>
      <c r="E543" s="179" t="s">
        <v>249</v>
      </c>
      <c r="N543" s="91"/>
    </row>
    <row r="544" spans="1:14" hidden="1" outlineLevel="1" x14ac:dyDescent="0.2">
      <c r="B544" s="52" t="s">
        <v>21</v>
      </c>
      <c r="C544" s="52" t="s">
        <v>142</v>
      </c>
      <c r="E544" s="79" t="s">
        <v>33</v>
      </c>
      <c r="F544" s="92">
        <v>49000</v>
      </c>
      <c r="G544" s="93">
        <v>52000</v>
      </c>
      <c r="H544" s="94">
        <v>56000</v>
      </c>
      <c r="I544" s="95">
        <v>57500</v>
      </c>
      <c r="J544" s="94">
        <v>59000</v>
      </c>
      <c r="K544" s="93">
        <v>64000</v>
      </c>
      <c r="L544" s="92">
        <v>68500</v>
      </c>
    </row>
    <row r="545" spans="1:12" hidden="1" outlineLevel="1" x14ac:dyDescent="0.2"/>
    <row r="546" spans="1:12" collapsed="1" x14ac:dyDescent="0.2">
      <c r="A546" s="89">
        <v>13651</v>
      </c>
      <c r="B546" s="52" t="s">
        <v>21</v>
      </c>
      <c r="C546" s="52" t="s">
        <v>143</v>
      </c>
      <c r="D546" s="89"/>
      <c r="E546" s="179" t="s">
        <v>250</v>
      </c>
    </row>
    <row r="547" spans="1:12" hidden="1" outlineLevel="1" x14ac:dyDescent="0.2">
      <c r="B547" s="52" t="s">
        <v>21</v>
      </c>
      <c r="C547" s="52" t="s">
        <v>143</v>
      </c>
      <c r="E547" s="79" t="s">
        <v>33</v>
      </c>
      <c r="F547" s="92">
        <v>44000</v>
      </c>
      <c r="G547" s="93">
        <v>47000</v>
      </c>
      <c r="H547" s="94">
        <v>50000</v>
      </c>
      <c r="I547" s="95">
        <v>51500</v>
      </c>
      <c r="J547" s="94">
        <v>53000</v>
      </c>
      <c r="K547" s="93">
        <v>56500</v>
      </c>
      <c r="L547" s="92">
        <v>60000</v>
      </c>
    </row>
    <row r="548" spans="1:12" ht="13.9" hidden="1" customHeight="1" outlineLevel="1" x14ac:dyDescent="0.2"/>
    <row r="549" spans="1:12" ht="14.65" customHeight="1" collapsed="1" x14ac:dyDescent="0.2">
      <c r="A549" s="73">
        <v>328</v>
      </c>
      <c r="B549" s="52" t="s">
        <v>130</v>
      </c>
      <c r="C549" s="52" t="s">
        <v>142</v>
      </c>
      <c r="D549" s="52"/>
      <c r="E549" s="179" t="s">
        <v>254</v>
      </c>
    </row>
    <row r="550" spans="1:12" hidden="1" outlineLevel="1" x14ac:dyDescent="0.2">
      <c r="B550" s="52" t="s">
        <v>130</v>
      </c>
      <c r="C550" s="52" t="s">
        <v>142</v>
      </c>
      <c r="D550" s="52"/>
      <c r="E550" s="79" t="s">
        <v>33</v>
      </c>
      <c r="F550" s="92">
        <v>56000</v>
      </c>
      <c r="G550" s="93">
        <v>59000</v>
      </c>
      <c r="H550" s="94">
        <v>61500</v>
      </c>
      <c r="I550" s="95">
        <v>63000</v>
      </c>
      <c r="J550" s="94">
        <v>64500</v>
      </c>
      <c r="K550" s="93">
        <v>68500</v>
      </c>
      <c r="L550" s="92">
        <v>73000</v>
      </c>
    </row>
    <row r="551" spans="1:12" hidden="1" outlineLevel="1" x14ac:dyDescent="0.2"/>
    <row r="552" spans="1:12" collapsed="1" x14ac:dyDescent="0.2">
      <c r="A552" s="89">
        <v>1861</v>
      </c>
      <c r="B552" s="52" t="s">
        <v>130</v>
      </c>
      <c r="C552" s="52" t="s">
        <v>143</v>
      </c>
      <c r="D552" s="52"/>
      <c r="E552" s="179" t="s">
        <v>253</v>
      </c>
    </row>
    <row r="553" spans="1:12" hidden="1" outlineLevel="1" x14ac:dyDescent="0.2">
      <c r="B553" s="52" t="s">
        <v>130</v>
      </c>
      <c r="C553" s="52" t="s">
        <v>143</v>
      </c>
      <c r="D553" s="52"/>
      <c r="E553" s="79" t="s">
        <v>33</v>
      </c>
      <c r="F553" s="92">
        <v>51000</v>
      </c>
      <c r="G553" s="93">
        <v>53500</v>
      </c>
      <c r="H553" s="94">
        <v>56000</v>
      </c>
      <c r="I553" s="95">
        <v>57000</v>
      </c>
      <c r="J553" s="94">
        <v>58000</v>
      </c>
      <c r="K553" s="93">
        <v>60500</v>
      </c>
      <c r="L553" s="92">
        <v>62500</v>
      </c>
    </row>
    <row r="554" spans="1:12" hidden="1" outlineLevel="1" x14ac:dyDescent="0.2"/>
    <row r="555" spans="1:12" ht="14.65" customHeight="1" collapsed="1" x14ac:dyDescent="0.2">
      <c r="A555" s="90">
        <v>96</v>
      </c>
      <c r="B555" s="52" t="s">
        <v>131</v>
      </c>
      <c r="C555" s="52" t="s">
        <v>142</v>
      </c>
      <c r="D555" s="52"/>
      <c r="E555" s="179" t="s">
        <v>251</v>
      </c>
    </row>
    <row r="556" spans="1:12" hidden="1" outlineLevel="1" x14ac:dyDescent="0.2">
      <c r="B556" s="52" t="s">
        <v>131</v>
      </c>
      <c r="C556" s="52" t="s">
        <v>142</v>
      </c>
      <c r="D556" s="52"/>
      <c r="E556" s="79" t="s">
        <v>33</v>
      </c>
      <c r="F556" s="92">
        <v>53500</v>
      </c>
      <c r="G556" s="93">
        <v>58000</v>
      </c>
      <c r="H556" s="94">
        <v>62500</v>
      </c>
      <c r="I556" s="95">
        <v>64500</v>
      </c>
      <c r="J556" s="94">
        <v>66500</v>
      </c>
      <c r="K556" s="93">
        <v>71500</v>
      </c>
      <c r="L556" s="92">
        <v>80000</v>
      </c>
    </row>
    <row r="557" spans="1:12" hidden="1" outlineLevel="1" x14ac:dyDescent="0.2"/>
    <row r="558" spans="1:12" collapsed="1" x14ac:dyDescent="0.2">
      <c r="A558" s="89">
        <v>678</v>
      </c>
      <c r="B558" s="52" t="s">
        <v>131</v>
      </c>
      <c r="C558" s="52" t="s">
        <v>143</v>
      </c>
      <c r="D558" s="52"/>
      <c r="E558" s="179" t="s">
        <v>252</v>
      </c>
    </row>
    <row r="559" spans="1:12" hidden="1" outlineLevel="1" x14ac:dyDescent="0.2">
      <c r="B559" s="52" t="s">
        <v>131</v>
      </c>
      <c r="C559" s="52" t="s">
        <v>143</v>
      </c>
      <c r="D559" s="52"/>
      <c r="E559" s="79" t="s">
        <v>33</v>
      </c>
      <c r="F559" s="92">
        <v>50000</v>
      </c>
      <c r="G559" s="93">
        <v>52500</v>
      </c>
      <c r="H559" s="94">
        <v>55500</v>
      </c>
      <c r="I559" s="95">
        <v>56500</v>
      </c>
      <c r="J559" s="94">
        <v>57500</v>
      </c>
      <c r="K559" s="93">
        <v>60500</v>
      </c>
      <c r="L559" s="92">
        <v>65000</v>
      </c>
    </row>
    <row r="560" spans="1:12" hidden="1" outlineLevel="1" x14ac:dyDescent="0.2"/>
    <row r="561" hidden="1" outlineLevel="1" x14ac:dyDescent="0.2"/>
    <row r="562" collapsed="1"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sheetData>
  <sheetProtection formatCells="0" formatColumns="0" formatRows="0" insertColumns="0"/>
  <mergeCells count="2">
    <mergeCell ref="D427:E427"/>
    <mergeCell ref="D542:E542"/>
  </mergeCells>
  <pageMargins left="0.7" right="0.7" top="0.75" bottom="0.75" header="0.3" footer="0.3"/>
  <pageSetup paperSize="9" scale="55" fitToHeight="0" orientation="landscape" r:id="rId1"/>
  <rowBreaks count="12" manualBreakCount="12">
    <brk id="44" max="16383" man="1"/>
    <brk id="86" max="16383" man="1"/>
    <brk id="128" max="16383" man="1"/>
    <brk id="170" max="16383" man="1"/>
    <brk id="214" max="16383" man="1"/>
    <brk id="256" max="16383" man="1"/>
    <brk id="298" max="16383" man="1"/>
    <brk id="340" max="16383" man="1"/>
    <brk id="382" max="16383" man="1"/>
    <brk id="424" max="16383" man="1"/>
    <brk id="468" max="16383" man="1"/>
    <brk id="5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FE75"/>
  <sheetViews>
    <sheetView showGridLines="0" topLeftCell="A4" zoomScale="80" zoomScaleNormal="80" workbookViewId="0">
      <selection activeCell="Q29" sqref="Q29:Q30"/>
    </sheetView>
  </sheetViews>
  <sheetFormatPr defaultColWidth="9" defaultRowHeight="14.25" x14ac:dyDescent="0.2"/>
  <cols>
    <col min="1" max="1" width="60.42578125" style="183" customWidth="1"/>
    <col min="2" max="2" width="4" style="183" customWidth="1"/>
    <col min="3" max="16384" width="9" style="183"/>
  </cols>
  <sheetData>
    <row r="2" spans="1:161" s="181" customFormat="1" ht="15" x14ac:dyDescent="0.25">
      <c r="A2" s="180" t="s">
        <v>302</v>
      </c>
    </row>
    <row r="4" spans="1:161" s="182" customFormat="1" x14ac:dyDescent="0.2">
      <c r="C4" s="182">
        <v>1</v>
      </c>
      <c r="K4" s="182">
        <v>2</v>
      </c>
      <c r="S4" s="182">
        <v>3</v>
      </c>
      <c r="AA4" s="182">
        <v>4</v>
      </c>
      <c r="AI4" s="182">
        <v>5</v>
      </c>
      <c r="AQ4" s="182">
        <v>6</v>
      </c>
      <c r="AY4" s="182">
        <v>7</v>
      </c>
      <c r="BG4" s="182">
        <v>8</v>
      </c>
      <c r="BO4" s="182">
        <v>9</v>
      </c>
      <c r="BW4" s="182">
        <v>10</v>
      </c>
      <c r="CE4" s="182">
        <v>11</v>
      </c>
      <c r="CM4" s="182">
        <v>12</v>
      </c>
      <c r="CU4" s="182">
        <v>13</v>
      </c>
      <c r="DC4" s="182">
        <v>14</v>
      </c>
      <c r="DK4" s="182">
        <v>15</v>
      </c>
      <c r="DS4" s="182">
        <v>16</v>
      </c>
      <c r="EA4" s="182">
        <v>17</v>
      </c>
      <c r="EI4" s="182">
        <v>18</v>
      </c>
      <c r="EQ4" s="182">
        <v>19</v>
      </c>
      <c r="EY4" s="182">
        <v>20</v>
      </c>
    </row>
    <row r="5" spans="1:161" x14ac:dyDescent="0.2">
      <c r="C5" s="183" t="str">
        <f>IF(Dashboard!H14="Primary","P",IF(Dashboard!H14="Secondary with sixth form","SS",IF(Dashboard!H14="Secondary without sixth form","S",IF(Dashboard!H14="Special","SP",IF(Dashboard!H14="Alternative provision","AP",IF(Dashboard!H14="All-through","AT",IF(Dashboard!H14="Nursery","N")))))))</f>
        <v>SS</v>
      </c>
      <c r="K5" s="183" t="b">
        <f>IF(Dashboard!L14="Primary","P",IF(Dashboard!L14="Secondary with sixth form","SS",IF(Dashboard!L14="Secondary without sixth form","S",IF(Dashboard!L14="Special","SP",IF(Dashboard!L14="Alternative provision","AP",IF(Dashboard!L14="All-through","AT",IF(Dashboard!L14="Nursery","N")))))))</f>
        <v>0</v>
      </c>
      <c r="S5" s="183" t="b">
        <f>IF(Dashboard!P14="Primary","P",IF(Dashboard!P14="Secondary with sixth form","SS",IF(Dashboard!P14="Secondary without sixth form","S",IF(Dashboard!P14="Special","SP",IF(Dashboard!P14="Alternative provision","AP",IF(Dashboard!P14="All-through","AT",IF(Dashboard!P14="Nursery","N")))))))</f>
        <v>0</v>
      </c>
      <c r="AA5" s="183" t="b">
        <f>IF(Dashboard!T14="Primary","P",IF(Dashboard!T14="Secondary with sixth form","SS",IF(Dashboard!T14="Secondary without sixth form","S",IF(Dashboard!T14="Special","SP",IF(Dashboard!T14="Alternative provision","AP",IF(Dashboard!T14="All-through","AT",IF(Dashboard!T14="Nursery","N")))))))</f>
        <v>0</v>
      </c>
      <c r="AI5" s="183" t="b">
        <f>IF(Dashboard!X14="Primary","P",IF(Dashboard!X14="Secondary with sixth form","SS",IF(Dashboard!X14="Secondary without sixth form","S",IF(Dashboard!X14="Special","SP",IF(Dashboard!X14="Alternative provision","AP",IF(Dashboard!X14="All-through","AT",IF(Dashboard!X14="Nursery","N")))))))</f>
        <v>0</v>
      </c>
      <c r="AQ5" s="183" t="b">
        <f>IF(Dashboard!AB14="Primary","P",IF(Dashboard!AB14="Secondary with sixth form","SS",IF(Dashboard!AB14="Secondary without sixth form","S",IF(Dashboard!AB14="Special","SP",IF(Dashboard!AB14="Alternative provision","AP",IF(Dashboard!AB14="All-through","AT",IF(Dashboard!AB14="Nursery","N")))))))</f>
        <v>0</v>
      </c>
      <c r="AY5" s="183" t="b">
        <f>IF(Dashboard!AF14="Primary","P",IF(Dashboard!AF14="Secondary with sixth form","SS",IF(Dashboard!AF14="Secondary without sixth form","S",IF(Dashboard!AF14="Special","SP",IF(Dashboard!AF14="Alternative provision","AP",IF(Dashboard!AF14="All-through","AT",IF(Dashboard!AF14="Nursery","N")))))))</f>
        <v>0</v>
      </c>
      <c r="BG5" s="183" t="b">
        <f>IF(Dashboard!AJ14="Primary","P",IF(Dashboard!AJ14="Secondary with sixth form","SS",IF(Dashboard!AJ14="Secondary without sixth form","S",IF(Dashboard!AJ14="Special","SP",IF(Dashboard!AJ14="Alternative provision","AP",IF(Dashboard!AJ14="All-through","AT",IF(Dashboard!AJ14="Nursery","N")))))))</f>
        <v>0</v>
      </c>
      <c r="BO5" s="183" t="b">
        <f>IF(Dashboard!AN14="Primary","P",IF(Dashboard!AN14="Secondary with sixth form","SS",IF(Dashboard!AN14="Secondary without sixth form","S",IF(Dashboard!AN14="Special","SP",IF(Dashboard!AN14="Alternative provision","AP",IF(Dashboard!AN14="All-through","AT",IF(Dashboard!AN14="Nursery","N")))))))</f>
        <v>0</v>
      </c>
      <c r="BW5" s="183" t="b">
        <f>IF(Dashboard!AR14="Primary","P",IF(Dashboard!AR14="Secondary with sixth form","SS",IF(Dashboard!AR14="Secondary without sixth form","S",IF(Dashboard!AR14="Special","SP",IF(Dashboard!AR14="Alternative provision","AP",IF(Dashboard!AR14="All-through","AT",IF(Dashboard!AR14="Nursery","N")))))))</f>
        <v>0</v>
      </c>
      <c r="CE5" s="183" t="b">
        <f>IF(Dashboard!AV14="Primary","P",IF(Dashboard!AV14="Secondary with sixth form","SS",IF(Dashboard!AV14="Secondary without sixth form","S",IF(Dashboard!AV14="Special","SP",IF(Dashboard!AV14="Alternative provision","AP",IF(Dashboard!AV14="All-through","AT",IF(Dashboard!AV14="Nursery","N")))))))</f>
        <v>0</v>
      </c>
      <c r="CM5" s="183" t="b">
        <f>IF(Dashboard!AZ14="Primary","P",IF(Dashboard!AZ14="Secondary with sixth form","SS",IF(Dashboard!AZ14="Secondary without sixth form","S",IF(Dashboard!AZ14="Special","SP",IF(Dashboard!AZ14="Alternative provision","AP",IF(Dashboard!AZ14="All-through","AT",IF(Dashboard!AZ14="Nursery","N")))))))</f>
        <v>0</v>
      </c>
      <c r="CU5" s="183" t="b">
        <f>IF(Dashboard!BD14="Primary","P",IF(Dashboard!BD14="Secondary with sixth form","SS",IF(Dashboard!BD14="Secondary without sixth form","S",IF(Dashboard!BD14="Special","SP",IF(Dashboard!BD14="Alternative provision","AP",IF(Dashboard!BD14="All-through","AT",IF(Dashboard!BD14="Nursery","N")))))))</f>
        <v>0</v>
      </c>
      <c r="DC5" s="183" t="b">
        <f>IF(Dashboard!BH14="Primary","P",IF(Dashboard!BH14="Secondary with sixth form","SS",IF(Dashboard!BH14="Secondary without sixth form","S",IF(Dashboard!BH14="Special","SP",IF(Dashboard!BH14="Alternative provision","AP",IF(Dashboard!BH14="All-through","AT",IF(Dashboard!BH14="Nursery","N")))))))</f>
        <v>0</v>
      </c>
      <c r="DK5" s="183" t="b">
        <f>IF(Dashboard!BL14="Primary","P",IF(Dashboard!BL14="Secondary with sixth form","SS",IF(Dashboard!BL14="Secondary without sixth form","S",IF(Dashboard!BL14="Special","SP",IF(Dashboard!BL14="Alternative provision","AP",IF(Dashboard!BL14="All-through","AT",IF(Dashboard!BL14="Nursery","N")))))))</f>
        <v>0</v>
      </c>
      <c r="DS5" s="183" t="b">
        <f>IF(Dashboard!BP14="Primary","P",IF(Dashboard!BP14="Secondary with sixth form","SS",IF(Dashboard!BP14="Secondary without sixth form","S",IF(Dashboard!BP14="Special","SP",IF(Dashboard!BP14="Alternative provision","AP",IF(Dashboard!BP14="All-through","AT",IF(Dashboard!BP14="Nursery","N")))))))</f>
        <v>0</v>
      </c>
      <c r="EA5" s="183" t="b">
        <f>IF(Dashboard!BT14="Primary","P",IF(Dashboard!BT14="Secondary with sixth form","SS",IF(Dashboard!BT14="Secondary without sixth form","S",IF(Dashboard!BT14="Special","SP",IF(Dashboard!BT14="Alternative provision","AP",IF(Dashboard!BT14="All-through","AT",IF(Dashboard!BT14="Nursery","N")))))))</f>
        <v>0</v>
      </c>
      <c r="EI5" s="183" t="b">
        <f>IF(Dashboard!BX14="Primary","P",IF(Dashboard!BX14="Secondary with sixth form","SS",IF(Dashboard!BX14="Secondary without sixth form","S",IF(Dashboard!BX14="Special","SP",IF(Dashboard!BX14="Alternative provision","AP",IF(Dashboard!BX14="All-through","AT",IF(Dashboard!BX14="Nursery","N")))))))</f>
        <v>0</v>
      </c>
      <c r="EQ5" s="183" t="b">
        <f>IF(Dashboard!CB14="Primary","P",IF(Dashboard!CB14="Secondary with sixth form","SS",IF(Dashboard!CB14="Secondary without sixth form","S",IF(Dashboard!CB14="Special","SP",IF(Dashboard!CB14="Alternative provision","AP",IF(Dashboard!CB14="All-through","AT",IF(Dashboard!CB14="Nursery","N")))))))</f>
        <v>0</v>
      </c>
      <c r="EY5" s="183" t="b">
        <f>IF(Dashboard!CF14="Primary","P",IF(Dashboard!CF14="Secondary with sixth form","SS",IF(Dashboard!CF14="Secondary without sixth form","S",IF(Dashboard!CF14="Special","SP",IF(Dashboard!CF14="Alternative provision","AP",IF(Dashboard!CF14="All-through","AT",IF(Dashboard!CF14="Nursery","N")))))))</f>
        <v>0</v>
      </c>
    </row>
    <row r="6" spans="1:161" x14ac:dyDescent="0.2">
      <c r="C6" s="183" t="str">
        <f>C5&amp;
IF($J29="very small","VS",IF($J29="small","S",IF($J29="medium","M",IF($J29="large","L"))))&amp;
IF($K29="low levels of FSM","L",IF($K29="medium levels of FSM","M",IF($K29="high levels of FSM","H")))</f>
        <v>SSLM</v>
      </c>
      <c r="K6" s="183" t="str">
        <f>K5&amp;
IF($J30="very small","VS",IF($J30="small","S",IF($J30="medium","M",IF($J30="large","L"))))&amp;
IF($K30="low levels of FSM","L",IF($K30="medium levels of FSM","M",IF($K30="high levels of FSM","H")))</f>
        <v>FALSEFALSEFALSE</v>
      </c>
      <c r="S6" s="183" t="str">
        <f>S5&amp;
IF($J31="very small","VS",IF($J31="small","S",IF($J31="medium","M",IF($J31="large","L"))))&amp;
IF($K31="low levels of FSM","L",IF($K31="medium levels of FSM","M",IF($K31="high levels of FSM","H")))</f>
        <v>FALSEFALSEFALSE</v>
      </c>
      <c r="AA6" s="183" t="str">
        <f>AA5&amp;
IF($J32="very small","VS",IF($J32="small","S",IF($J32="medium","M",IF($J32="large","L"))))&amp;
IF($K32="low levels of FSM","L",IF($K32="medium levels of FSM","M",IF($K32="high levels of FSM","H")))</f>
        <v>FALSEFALSEFALSE</v>
      </c>
      <c r="AI6" s="183" t="str">
        <f>AI5&amp;
IF($J33="very small","VS",IF($J33="small","S",IF($J33="medium","M",IF($J33="large","L"))))&amp;
IF($K33="low levels of FSM","L",IF($K33="medium levels of FSM","M",IF($K33="high levels of FSM","H")))</f>
        <v>FALSEFALSEFALSE</v>
      </c>
      <c r="AQ6" s="183" t="str">
        <f>AQ5&amp;
IF($J34="very small","VS",IF($J34="small","S",IF($J34="medium","M",IF($J34="large","L"))))&amp;
IF($K34="low levels of FSM","L",IF($K34="medium levels of FSM","M",IF($K34="high levels of FSM","H")))</f>
        <v>FALSEFALSEFALSE</v>
      </c>
      <c r="AY6" s="183" t="str">
        <f>AY5&amp;
IF($J35="very small","VS",IF($J35="small","S",IF($J35="medium","M",IF($J35="large","L"))))&amp;
IF($K35="low levels of FSM","L",IF($K35="medium levels of FSM","M",IF($K35="high levels of FSM","H")))</f>
        <v>FALSEFALSEFALSE</v>
      </c>
      <c r="BG6" s="183" t="str">
        <f>BG5&amp;
IF($J36="very small","VS",IF($J36="small","S",IF($J36="medium","M",IF($J36="large","L"))))&amp;
IF($K36="low levels of FSM","L",IF($K36="medium levels of FSM","M",IF($K36="high levels of FSM","H")))</f>
        <v>FALSEFALSEFALSE</v>
      </c>
      <c r="BO6" s="183" t="str">
        <f>BO5&amp;
IF($J37="very small","VS",IF($J37="small","S",IF($J37="medium","M",IF($J37="large","L"))))&amp;
IF($K37="low levels of FSM","L",IF($K37="medium levels of FSM","M",IF($K37="high levels of FSM","H")))</f>
        <v>FALSEFALSEFALSE</v>
      </c>
      <c r="BW6" s="183" t="str">
        <f>BW5&amp;
IF($J38="very small","VS",IF($J38="small","S",IF($J38="medium","M",IF($J38="large","L"))))&amp;
IF($K38="low levels of FSM","L",IF($K38="medium levels of FSM","M",IF($K38="high levels of FSM","H")))</f>
        <v>FALSEFALSEFALSE</v>
      </c>
      <c r="CE6" s="183" t="str">
        <f>CE5&amp;
IF($J39="very small","VS",IF($J39="small","S",IF($J39="medium","M",IF($J39="large","L"))))&amp;
IF($K39="low levels of FSM","L",IF($K39="medium levels of FSM","M",IF($K39="high levels of FSM","H")))</f>
        <v>FALSEFALSEFALSE</v>
      </c>
      <c r="CM6" s="183" t="str">
        <f>CM5&amp;
IF($J40="very small","VS",IF($J40="small","S",IF($J40="medium","M",IF($J40="large","L"))))&amp;
IF($K40="low levels of FSM","L",IF($K40="medium levels of FSM","M",IF($K40="high levels of FSM","H")))</f>
        <v>FALSEFALSEFALSE</v>
      </c>
      <c r="CU6" s="183" t="str">
        <f>CU5&amp;
IF($J41="very small","VS",IF($J41="small","S",IF($J41="medium","M",IF($J41="large","L"))))&amp;
IF($K41="low levels of FSM","L",IF($K41="medium levels of FSM","M",IF($K41="high levels of FSM","H")))</f>
        <v>FALSEFALSEFALSE</v>
      </c>
      <c r="DC6" s="183" t="str">
        <f>DC5&amp;
IF($J42="very small","VS",IF($J42="small","S",IF($J42="medium","M",IF($J42="large","L"))))&amp;
IF($K42="low levels of FSM","L",IF($K42="medium levels of FSM","M",IF($K42="high levels of FSM","H")))</f>
        <v>FALSEFALSEFALSE</v>
      </c>
      <c r="DK6" s="183" t="str">
        <f>DK5&amp;
IF($J43="very small","VS",IF($J43="small","S",IF($J43="medium","M",IF($J43="large","L"))))&amp;
IF($K43="low levels of FSM","L",IF($K43="medium levels of FSM","M",IF($K43="high levels of FSM","H")))</f>
        <v>FALSEFALSEFALSE</v>
      </c>
      <c r="DS6" s="183" t="str">
        <f>DS5&amp;
IF($J44="very small","VS",IF($J44="small","S",IF($J44="medium","M",IF($J44="large","L"))))&amp;
IF($K44="low levels of FSM","L",IF($K44="medium levels of FSM","M",IF($K44="high levels of FSM","H")))</f>
        <v>FALSEFALSEFALSE</v>
      </c>
      <c r="EA6" s="183" t="str">
        <f>EA5&amp;
IF($J45="very small","VS",IF($J45="small","S",IF($J45="medium","M",IF($J45="large","L"))))&amp;
IF($K45="low levels of FSM","L",IF($K45="medium levels of FSM","M",IF($K45="high levels of FSM","H")))</f>
        <v>FALSEFALSEFALSE</v>
      </c>
      <c r="EI6" s="183" t="str">
        <f>EI5&amp;
IF($J46="very small","VS",IF($J46="small","S",IF($J46="medium","M",IF($J46="large","L"))))&amp;
IF($K46="low levels of FSM","L",IF($K46="medium levels of FSM","M",IF($K46="high levels of FSM","H")))</f>
        <v>FALSEFALSEFALSE</v>
      </c>
      <c r="EQ6" s="183" t="str">
        <f>EQ5&amp;
IF($J47="very small","VS",IF($J47="small","S",IF($J47="medium","M",IF($J47="large","L"))))&amp;
IF($K47="low levels of FSM","L",IF($K47="medium levels of FSM","M",IF($K47="high levels of FSM","H")))</f>
        <v>FALSEFALSEFALSE</v>
      </c>
      <c r="EY6" s="183" t="str">
        <f>EY5&amp;
IF($J48="very small","VS",IF($J48="small","S",IF($J48="medium","M",IF($J48="large","L"))))&amp;
IF($K48="low levels of FSM","L",IF($K48="medium levels of FSM","M",IF($K48="high levels of FSM","H")))</f>
        <v>FALSEFALSEFALSE</v>
      </c>
    </row>
    <row r="7" spans="1:161" x14ac:dyDescent="0.2">
      <c r="C7" s="183" t="str">
        <f>C5&amp;
IF(AND(C5="SS",$I29="in London"),"Lo",IF($I29="in London","L",IF($I29="outside London","NL")))</f>
        <v>SSNL</v>
      </c>
      <c r="K7" s="183" t="str">
        <f>K5&amp;
IF(AND(K5="SS",$I30="in London"),"Lo",IF($I30="in London","L",IF($I30="outside London","NL")))</f>
        <v>FALSEFALSE</v>
      </c>
      <c r="S7" s="183" t="str">
        <f>S5&amp;
IF(AND(S5="SS",$I31="in London"),"Lo",IF($I31="in London","L",IF($I31="outside London","NL")))</f>
        <v>FALSEFALSE</v>
      </c>
      <c r="AA7" s="183" t="str">
        <f>AA5&amp;
IF(AND(AA5="SS",$I32="in London"),"Lo",IF($I32="in London","L",IF($I32="outside London","NL")))</f>
        <v>FALSEFALSE</v>
      </c>
      <c r="AI7" s="183" t="str">
        <f>AI5&amp;
IF(AND(AI5="SS",$I33="in London"),"Lo",IF($I33="in London","L",IF($I33="outside London","NL")))</f>
        <v>FALSEFALSE</v>
      </c>
      <c r="AQ7" s="183" t="str">
        <f>AQ5&amp;
IF(AND(AQ5="SS",$I34="in London"),"Lo",IF($I34="in London","L",IF($I34="outside London","NL")))</f>
        <v>FALSEFALSE</v>
      </c>
      <c r="AY7" s="183" t="str">
        <f>AY5&amp;
IF(AND(AY5="SS",$I35="in London"),"Lo",IF($I35="in London","L",IF($I35="outside London","NL")))</f>
        <v>FALSEFALSE</v>
      </c>
      <c r="BG7" s="183" t="str">
        <f>BG5&amp;
IF(AND(BG5="SS",$I36="in London"),"Lo",IF($I36="in London","L",IF($I36="outside London","NL")))</f>
        <v>FALSEFALSE</v>
      </c>
      <c r="BO7" s="183" t="str">
        <f>BO5&amp;
IF(AND(BO5="SS",$I37="in London"),"Lo",IF($I37="in London","L",IF($I37="outside London","NL")))</f>
        <v>FALSEFALSE</v>
      </c>
      <c r="BW7" s="183" t="str">
        <f>BW5&amp;
IF(AND(BW5="SS",$I38="in London"),"Lo",IF($I38="in London","L",IF($I38="outside London","NL")))</f>
        <v>FALSEFALSE</v>
      </c>
      <c r="CE7" s="183" t="str">
        <f>CE5&amp;
IF(AND(CE5="SS",$I39="in London"),"Lo",IF($I39="in London","L",IF($I39="outside London","NL")))</f>
        <v>FALSEFALSE</v>
      </c>
      <c r="CM7" s="183" t="str">
        <f>CM5&amp;
IF(AND(CM5="SS",$I40="in London"),"Lo",IF($I40="in London","L",IF($I40="outside London","NL")))</f>
        <v>FALSEFALSE</v>
      </c>
      <c r="CU7" s="183" t="str">
        <f>CU5&amp;
IF(AND(CU5="SS",$I41="in London"),"Lo",IF($I41="in London","L",IF($I41="outside London","NL")))</f>
        <v>FALSEFALSE</v>
      </c>
      <c r="DC7" s="183" t="str">
        <f>DC5&amp;
IF(AND(DC5="SS",$I42="in London"),"Lo",IF($I42="in London","L",IF($I42="outside London","NL")))</f>
        <v>FALSEFALSE</v>
      </c>
      <c r="DK7" s="183" t="str">
        <f>DK5&amp;
IF(AND(DK5="SS",$I43="in London"),"Lo",IF($I43="in London","L",IF($I43="outside London","NL")))</f>
        <v>FALSEFALSE</v>
      </c>
      <c r="DS7" s="183" t="str">
        <f>DS5&amp;
IF(AND(DS5="SS",$I44="in London"),"Lo",IF($I44="in London","L",IF($I44="outside London","NL")))</f>
        <v>FALSEFALSE</v>
      </c>
      <c r="EA7" s="183" t="str">
        <f>EA5&amp;
IF(AND(EA5="SS",$I45="in London"),"Lo",IF($I45="in London","L",IF($I45="outside London","NL")))</f>
        <v>FALSEFALSE</v>
      </c>
      <c r="EI7" s="183" t="str">
        <f>EI5&amp;
IF(AND(EI5="SS",$I46="in London"),"Lo",IF($I46="in London","L",IF($I46="outside London","NL")))</f>
        <v>FALSEFALSE</v>
      </c>
      <c r="EQ7" s="183" t="str">
        <f>EQ5&amp;
IF(AND(EQ5="SS",$I47="in London"),"Lo",IF($I47="in London","L",IF($I47="outside London","NL")))</f>
        <v>FALSEFALSE</v>
      </c>
      <c r="EY7" s="183" t="str">
        <f>EY5&amp;
IF(AND(EY5="SS",$I48="in London"),"Lo",IF($I48="in London","L",IF($I48="outside London","NL")))</f>
        <v>FALSEFALSE</v>
      </c>
    </row>
    <row r="8" spans="1:161" x14ac:dyDescent="0.2">
      <c r="C8" s="183">
        <v>1</v>
      </c>
      <c r="D8" s="183">
        <v>2</v>
      </c>
      <c r="E8" s="183">
        <v>3</v>
      </c>
      <c r="F8" s="183">
        <v>4</v>
      </c>
      <c r="G8" s="183">
        <v>5</v>
      </c>
      <c r="H8" s="183">
        <v>6</v>
      </c>
      <c r="I8" s="183">
        <v>7</v>
      </c>
      <c r="K8" s="183">
        <v>1</v>
      </c>
      <c r="L8" s="183">
        <v>2</v>
      </c>
      <c r="M8" s="183">
        <v>3</v>
      </c>
      <c r="N8" s="183">
        <v>4</v>
      </c>
      <c r="O8" s="183">
        <v>5</v>
      </c>
      <c r="P8" s="183">
        <v>6</v>
      </c>
      <c r="Q8" s="183">
        <v>7</v>
      </c>
      <c r="S8" s="183">
        <v>1</v>
      </c>
      <c r="T8" s="183">
        <v>2</v>
      </c>
      <c r="U8" s="183">
        <v>3</v>
      </c>
      <c r="V8" s="183">
        <v>4</v>
      </c>
      <c r="W8" s="183">
        <v>5</v>
      </c>
      <c r="X8" s="183">
        <v>6</v>
      </c>
      <c r="Y8" s="183">
        <v>7</v>
      </c>
      <c r="AA8" s="183">
        <v>1</v>
      </c>
      <c r="AB8" s="183">
        <v>2</v>
      </c>
      <c r="AC8" s="183">
        <v>3</v>
      </c>
      <c r="AD8" s="183">
        <v>4</v>
      </c>
      <c r="AE8" s="183">
        <v>5</v>
      </c>
      <c r="AF8" s="183">
        <v>6</v>
      </c>
      <c r="AG8" s="183">
        <v>7</v>
      </c>
      <c r="AI8" s="183">
        <v>1</v>
      </c>
      <c r="AJ8" s="183">
        <v>2</v>
      </c>
      <c r="AK8" s="183">
        <v>3</v>
      </c>
      <c r="AL8" s="183">
        <v>4</v>
      </c>
      <c r="AM8" s="183">
        <v>5</v>
      </c>
      <c r="AN8" s="183">
        <v>6</v>
      </c>
      <c r="AO8" s="183">
        <v>7</v>
      </c>
      <c r="AQ8" s="183">
        <v>1</v>
      </c>
      <c r="AR8" s="183">
        <v>2</v>
      </c>
      <c r="AS8" s="183">
        <v>3</v>
      </c>
      <c r="AT8" s="183">
        <v>4</v>
      </c>
      <c r="AU8" s="183">
        <v>5</v>
      </c>
      <c r="AV8" s="183">
        <v>6</v>
      </c>
      <c r="AW8" s="183">
        <v>7</v>
      </c>
      <c r="AY8" s="183">
        <v>1</v>
      </c>
      <c r="AZ8" s="183">
        <v>2</v>
      </c>
      <c r="BA8" s="183">
        <v>3</v>
      </c>
      <c r="BB8" s="183">
        <v>4</v>
      </c>
      <c r="BC8" s="183">
        <v>5</v>
      </c>
      <c r="BD8" s="183">
        <v>6</v>
      </c>
      <c r="BE8" s="183">
        <v>7</v>
      </c>
      <c r="BG8" s="183">
        <v>1</v>
      </c>
      <c r="BH8" s="183">
        <v>2</v>
      </c>
      <c r="BI8" s="183">
        <v>3</v>
      </c>
      <c r="BJ8" s="183">
        <v>4</v>
      </c>
      <c r="BK8" s="183">
        <v>5</v>
      </c>
      <c r="BL8" s="183">
        <v>6</v>
      </c>
      <c r="BM8" s="183">
        <v>7</v>
      </c>
      <c r="BO8" s="183">
        <v>1</v>
      </c>
      <c r="BP8" s="183">
        <v>2</v>
      </c>
      <c r="BQ8" s="183">
        <v>3</v>
      </c>
      <c r="BR8" s="183">
        <v>4</v>
      </c>
      <c r="BS8" s="183">
        <v>5</v>
      </c>
      <c r="BT8" s="183">
        <v>6</v>
      </c>
      <c r="BU8" s="183">
        <v>7</v>
      </c>
      <c r="BW8" s="183">
        <v>1</v>
      </c>
      <c r="BX8" s="183">
        <v>2</v>
      </c>
      <c r="BY8" s="183">
        <v>3</v>
      </c>
      <c r="BZ8" s="183">
        <v>4</v>
      </c>
      <c r="CA8" s="183">
        <v>5</v>
      </c>
      <c r="CB8" s="183">
        <v>6</v>
      </c>
      <c r="CC8" s="183">
        <v>7</v>
      </c>
      <c r="CE8" s="183">
        <v>1</v>
      </c>
      <c r="CF8" s="183">
        <v>2</v>
      </c>
      <c r="CG8" s="183">
        <v>3</v>
      </c>
      <c r="CH8" s="183">
        <v>4</v>
      </c>
      <c r="CI8" s="183">
        <v>5</v>
      </c>
      <c r="CJ8" s="183">
        <v>6</v>
      </c>
      <c r="CK8" s="183">
        <v>7</v>
      </c>
      <c r="CM8" s="183">
        <v>1</v>
      </c>
      <c r="CN8" s="183">
        <v>2</v>
      </c>
      <c r="CO8" s="183">
        <v>3</v>
      </c>
      <c r="CP8" s="183">
        <v>4</v>
      </c>
      <c r="CQ8" s="183">
        <v>5</v>
      </c>
      <c r="CR8" s="183">
        <v>6</v>
      </c>
      <c r="CS8" s="183">
        <v>7</v>
      </c>
      <c r="CU8" s="183">
        <v>1</v>
      </c>
      <c r="CV8" s="183">
        <v>2</v>
      </c>
      <c r="CW8" s="183">
        <v>3</v>
      </c>
      <c r="CX8" s="183">
        <v>4</v>
      </c>
      <c r="CY8" s="183">
        <v>5</v>
      </c>
      <c r="CZ8" s="183">
        <v>6</v>
      </c>
      <c r="DA8" s="183">
        <v>7</v>
      </c>
      <c r="DC8" s="183">
        <v>1</v>
      </c>
      <c r="DD8" s="183">
        <v>2</v>
      </c>
      <c r="DE8" s="183">
        <v>3</v>
      </c>
      <c r="DF8" s="183">
        <v>4</v>
      </c>
      <c r="DG8" s="183">
        <v>5</v>
      </c>
      <c r="DH8" s="183">
        <v>6</v>
      </c>
      <c r="DI8" s="183">
        <v>7</v>
      </c>
      <c r="DK8" s="183">
        <v>1</v>
      </c>
      <c r="DL8" s="183">
        <v>2</v>
      </c>
      <c r="DM8" s="183">
        <v>3</v>
      </c>
      <c r="DN8" s="183">
        <v>4</v>
      </c>
      <c r="DO8" s="183">
        <v>5</v>
      </c>
      <c r="DP8" s="183">
        <v>6</v>
      </c>
      <c r="DQ8" s="183">
        <v>7</v>
      </c>
      <c r="DS8" s="183">
        <v>1</v>
      </c>
      <c r="DT8" s="183">
        <v>2</v>
      </c>
      <c r="DU8" s="183">
        <v>3</v>
      </c>
      <c r="DV8" s="183">
        <v>4</v>
      </c>
      <c r="DW8" s="183">
        <v>5</v>
      </c>
      <c r="DX8" s="183">
        <v>6</v>
      </c>
      <c r="DY8" s="183">
        <v>7</v>
      </c>
      <c r="EA8" s="183">
        <v>1</v>
      </c>
      <c r="EB8" s="183">
        <v>2</v>
      </c>
      <c r="EC8" s="183">
        <v>3</v>
      </c>
      <c r="ED8" s="183">
        <v>4</v>
      </c>
      <c r="EE8" s="183">
        <v>5</v>
      </c>
      <c r="EF8" s="183">
        <v>6</v>
      </c>
      <c r="EG8" s="183">
        <v>7</v>
      </c>
      <c r="EI8" s="183">
        <v>1</v>
      </c>
      <c r="EJ8" s="183">
        <v>2</v>
      </c>
      <c r="EK8" s="183">
        <v>3</v>
      </c>
      <c r="EL8" s="183">
        <v>4</v>
      </c>
      <c r="EM8" s="183">
        <v>5</v>
      </c>
      <c r="EN8" s="183">
        <v>6</v>
      </c>
      <c r="EO8" s="183">
        <v>7</v>
      </c>
      <c r="EQ8" s="183">
        <v>1</v>
      </c>
      <c r="ER8" s="183">
        <v>2</v>
      </c>
      <c r="ES8" s="183">
        <v>3</v>
      </c>
      <c r="ET8" s="183">
        <v>4</v>
      </c>
      <c r="EU8" s="183">
        <v>5</v>
      </c>
      <c r="EV8" s="183">
        <v>6</v>
      </c>
      <c r="EW8" s="183">
        <v>7</v>
      </c>
      <c r="EY8" s="183">
        <v>1</v>
      </c>
      <c r="EZ8" s="183">
        <v>2</v>
      </c>
      <c r="FA8" s="183">
        <v>3</v>
      </c>
      <c r="FB8" s="183">
        <v>4</v>
      </c>
      <c r="FC8" s="183">
        <v>5</v>
      </c>
      <c r="FD8" s="183">
        <v>6</v>
      </c>
      <c r="FE8" s="183">
        <v>7</v>
      </c>
    </row>
    <row r="9" spans="1:161" x14ac:dyDescent="0.2">
      <c r="A9" s="183" t="s">
        <v>103</v>
      </c>
      <c r="B9" s="183">
        <v>1</v>
      </c>
      <c r="C9" s="184">
        <f t="shared" ref="C9:I9" ca="1" si="0">IF(OR($C$5="P",$C$5="SS",$C$5="S"),INDEX(INDIRECT($C$6),$B9,C$8),
IF(OR($C$5="N",$C$5="AP",$C$5="AT",$C$5="SP"),INDEX(INDIRECT($C$7),$B9,C$8)))</f>
        <v>0.5</v>
      </c>
      <c r="D9" s="184">
        <f t="shared" ca="1" si="0"/>
        <v>0.53</v>
      </c>
      <c r="E9" s="185">
        <f t="shared" ca="1" si="0"/>
        <v>0.55500000000000005</v>
      </c>
      <c r="F9" s="186">
        <f t="shared" ca="1" si="0"/>
        <v>0.56499999999999995</v>
      </c>
      <c r="G9" s="185">
        <f t="shared" ca="1" si="0"/>
        <v>0.57499999999999996</v>
      </c>
      <c r="H9" s="184">
        <f t="shared" ca="1" si="0"/>
        <v>0.61</v>
      </c>
      <c r="I9" s="184">
        <f t="shared" ca="1" si="0"/>
        <v>0.63500000000000001</v>
      </c>
      <c r="K9" s="184" t="b">
        <f t="shared" ref="K9:Q9" ca="1" si="1">IF(OR($K$5="P",$K$5="SS",$K$5="S"),INDEX(INDIRECT($K$6),$B9,K$8),
IF(OR($K$5="N",$K$5="AP",$K$5="AT",$K$5="SP"),INDEX(INDIRECT($K$7),$B9,K$8)))</f>
        <v>0</v>
      </c>
      <c r="L9" s="184" t="b">
        <f t="shared" ca="1" si="1"/>
        <v>0</v>
      </c>
      <c r="M9" s="185" t="b">
        <f t="shared" ca="1" si="1"/>
        <v>0</v>
      </c>
      <c r="N9" s="186" t="b">
        <f t="shared" ca="1" si="1"/>
        <v>0</v>
      </c>
      <c r="O9" s="185" t="b">
        <f t="shared" ca="1" si="1"/>
        <v>0</v>
      </c>
      <c r="P9" s="184" t="b">
        <f t="shared" ca="1" si="1"/>
        <v>0</v>
      </c>
      <c r="Q9" s="184" t="b">
        <f t="shared" ca="1" si="1"/>
        <v>0</v>
      </c>
      <c r="S9" s="184" t="b">
        <f t="shared" ref="S9:Y9" ca="1" si="2">IF(OR($S$5="P",$S$5="SS",$S$5="S"),INDEX(INDIRECT($S$6),$B9,S$8),
IF(OR($S$5="N",$S$5="AP",$S$5="AT",$S$5="SP"),INDEX(INDIRECT($S$7),$B9,S$8)))</f>
        <v>0</v>
      </c>
      <c r="T9" s="184" t="b">
        <f t="shared" ca="1" si="2"/>
        <v>0</v>
      </c>
      <c r="U9" s="185" t="b">
        <f t="shared" ca="1" si="2"/>
        <v>0</v>
      </c>
      <c r="V9" s="186" t="b">
        <f t="shared" ca="1" si="2"/>
        <v>0</v>
      </c>
      <c r="W9" s="185" t="b">
        <f t="shared" ca="1" si="2"/>
        <v>0</v>
      </c>
      <c r="X9" s="184" t="b">
        <f t="shared" ca="1" si="2"/>
        <v>0</v>
      </c>
      <c r="Y9" s="184" t="b">
        <f t="shared" ca="1" si="2"/>
        <v>0</v>
      </c>
      <c r="AA9" s="184" t="b">
        <f t="shared" ref="AA9:AG9" ca="1" si="3">IF(OR($AA$5="P",$AA$5="SS",$AA$5="S"),INDEX(INDIRECT($AA$6),$B9,AA$8),
IF(OR($AA$5="N",$AA$5="AP",$AA$5="AT",$AA$5="SP"),INDEX(INDIRECT($AA$7),$B9,AA$8)))</f>
        <v>0</v>
      </c>
      <c r="AB9" s="184" t="b">
        <f t="shared" ca="1" si="3"/>
        <v>0</v>
      </c>
      <c r="AC9" s="185" t="b">
        <f t="shared" ca="1" si="3"/>
        <v>0</v>
      </c>
      <c r="AD9" s="186" t="b">
        <f t="shared" ca="1" si="3"/>
        <v>0</v>
      </c>
      <c r="AE9" s="185" t="b">
        <f t="shared" ca="1" si="3"/>
        <v>0</v>
      </c>
      <c r="AF9" s="184" t="b">
        <f t="shared" ca="1" si="3"/>
        <v>0</v>
      </c>
      <c r="AG9" s="184" t="b">
        <f t="shared" ca="1" si="3"/>
        <v>0</v>
      </c>
      <c r="AI9" s="184" t="b">
        <f t="shared" ref="AI9:AO9" ca="1" si="4">IF(OR($AI$5="P",$AI$5="SS",$AI$5="S"),INDEX(INDIRECT($AI$6),$B9,AI$8),
IF(OR($AI$5="N",$AI$5="AP",$AI$5="AT",$AI$5="SP"),INDEX(INDIRECT($AI$7),$B9,AI$8)))</f>
        <v>0</v>
      </c>
      <c r="AJ9" s="184" t="b">
        <f t="shared" ca="1" si="4"/>
        <v>0</v>
      </c>
      <c r="AK9" s="185" t="b">
        <f t="shared" ca="1" si="4"/>
        <v>0</v>
      </c>
      <c r="AL9" s="186" t="b">
        <f t="shared" ca="1" si="4"/>
        <v>0</v>
      </c>
      <c r="AM9" s="185" t="b">
        <f t="shared" ca="1" si="4"/>
        <v>0</v>
      </c>
      <c r="AN9" s="184" t="b">
        <f t="shared" ca="1" si="4"/>
        <v>0</v>
      </c>
      <c r="AO9" s="184" t="b">
        <f t="shared" ca="1" si="4"/>
        <v>0</v>
      </c>
      <c r="AQ9" s="184" t="b">
        <f t="shared" ref="AQ9:AW9" ca="1" si="5">IF(OR($AQ$5="P",$AQ$5="SS",$AQ$5="S"),INDEX(INDIRECT($AQ$6),$B9,AQ$8),
IF(OR($AQ$5="N",$AQ$5="AP",$AQ$5="AT",$AQ$5="SP"),INDEX(INDIRECT($AQ$7),$B9,AQ$8)))</f>
        <v>0</v>
      </c>
      <c r="AR9" s="184" t="b">
        <f t="shared" ca="1" si="5"/>
        <v>0</v>
      </c>
      <c r="AS9" s="185" t="b">
        <f t="shared" ca="1" si="5"/>
        <v>0</v>
      </c>
      <c r="AT9" s="186" t="b">
        <f t="shared" ca="1" si="5"/>
        <v>0</v>
      </c>
      <c r="AU9" s="185" t="b">
        <f t="shared" ca="1" si="5"/>
        <v>0</v>
      </c>
      <c r="AV9" s="184" t="b">
        <f t="shared" ca="1" si="5"/>
        <v>0</v>
      </c>
      <c r="AW9" s="184" t="b">
        <f t="shared" ca="1" si="5"/>
        <v>0</v>
      </c>
      <c r="AY9" s="184" t="b">
        <f t="shared" ref="AY9:BE9" ca="1" si="6">IF(OR($AY$5="P",$AY$5="SS",$AY$5="S"),INDEX(INDIRECT($AY$6),$B9,AY$8),
IF(OR($AY$5="N",$AY$5="AP",$AY$5="AT",$AY$5="SP"),INDEX(INDIRECT($AY$7),$B9,AY$8)))</f>
        <v>0</v>
      </c>
      <c r="AZ9" s="184" t="b">
        <f t="shared" ca="1" si="6"/>
        <v>0</v>
      </c>
      <c r="BA9" s="185" t="b">
        <f t="shared" ca="1" si="6"/>
        <v>0</v>
      </c>
      <c r="BB9" s="186" t="b">
        <f t="shared" ca="1" si="6"/>
        <v>0</v>
      </c>
      <c r="BC9" s="185" t="b">
        <f t="shared" ca="1" si="6"/>
        <v>0</v>
      </c>
      <c r="BD9" s="184" t="b">
        <f t="shared" ca="1" si="6"/>
        <v>0</v>
      </c>
      <c r="BE9" s="184" t="b">
        <f t="shared" ca="1" si="6"/>
        <v>0</v>
      </c>
      <c r="BG9" s="184" t="b">
        <f t="shared" ref="BG9:BM9" ca="1" si="7">IF(OR($BG$5="P",$BG$5="SS",$BG$5="S"),INDEX(INDIRECT($BG$6),$B9,BG$8),
IF(OR($BG$5="N",$BG$5="AP",$BG$5="AT",$BG$5="SP"),INDEX(INDIRECT($BG$7),$B9,BG$8)))</f>
        <v>0</v>
      </c>
      <c r="BH9" s="184" t="b">
        <f t="shared" ca="1" si="7"/>
        <v>0</v>
      </c>
      <c r="BI9" s="185" t="b">
        <f t="shared" ca="1" si="7"/>
        <v>0</v>
      </c>
      <c r="BJ9" s="186" t="b">
        <f t="shared" ca="1" si="7"/>
        <v>0</v>
      </c>
      <c r="BK9" s="185" t="b">
        <f t="shared" ca="1" si="7"/>
        <v>0</v>
      </c>
      <c r="BL9" s="184" t="b">
        <f t="shared" ca="1" si="7"/>
        <v>0</v>
      </c>
      <c r="BM9" s="184" t="b">
        <f t="shared" ca="1" si="7"/>
        <v>0</v>
      </c>
      <c r="BO9" s="184" t="b">
        <f t="shared" ref="BO9:BU9" ca="1" si="8">IF(OR($BO$5="P",$BO$5="SS",$BO$5="S"),INDEX(INDIRECT($BO$6),$B9,BO$8),
IF(OR($BO$5="N",$BO$5="AP",$BO$5="AT",$BO$5="SP"),INDEX(INDIRECT($BO$7),$B9,BO$8)))</f>
        <v>0</v>
      </c>
      <c r="BP9" s="184" t="b">
        <f t="shared" ca="1" si="8"/>
        <v>0</v>
      </c>
      <c r="BQ9" s="185" t="b">
        <f t="shared" ca="1" si="8"/>
        <v>0</v>
      </c>
      <c r="BR9" s="186" t="b">
        <f t="shared" ca="1" si="8"/>
        <v>0</v>
      </c>
      <c r="BS9" s="185" t="b">
        <f t="shared" ca="1" si="8"/>
        <v>0</v>
      </c>
      <c r="BT9" s="184" t="b">
        <f t="shared" ca="1" si="8"/>
        <v>0</v>
      </c>
      <c r="BU9" s="184" t="b">
        <f t="shared" ca="1" si="8"/>
        <v>0</v>
      </c>
      <c r="BV9" s="187"/>
      <c r="BW9" s="184" t="b">
        <f t="shared" ref="BW9:CC9" ca="1" si="9">IF(OR($BW$5="P",$BW$5="SS",$BW$5="S"),INDEX(INDIRECT($BW$6),$B9,BW$8),
IF(OR($BW$5="N",$BW$5="AP",$BW$5="AT",$BW$5="SP"),INDEX(INDIRECT($BW$7),$B9,BW$8)))</f>
        <v>0</v>
      </c>
      <c r="BX9" s="184" t="b">
        <f t="shared" ca="1" si="9"/>
        <v>0</v>
      </c>
      <c r="BY9" s="185" t="b">
        <f t="shared" ca="1" si="9"/>
        <v>0</v>
      </c>
      <c r="BZ9" s="186" t="b">
        <f t="shared" ca="1" si="9"/>
        <v>0</v>
      </c>
      <c r="CA9" s="185" t="b">
        <f t="shared" ca="1" si="9"/>
        <v>0</v>
      </c>
      <c r="CB9" s="184" t="b">
        <f t="shared" ca="1" si="9"/>
        <v>0</v>
      </c>
      <c r="CC9" s="184" t="b">
        <f t="shared" ca="1" si="9"/>
        <v>0</v>
      </c>
      <c r="CE9" s="184" t="b">
        <f t="shared" ref="CE9:CK9" ca="1" si="10">IF(OR($CE$5="P",$CE$5="SS",$CE$5="S"),INDEX(INDIRECT($CE$6),$B9,CE$8),
IF(OR($CE$5="N",$CE$5="AP",$CE$5="AT",$CE$5="SP"),INDEX(INDIRECT($CE$7),$B9,CE$8)))</f>
        <v>0</v>
      </c>
      <c r="CF9" s="184" t="b">
        <f t="shared" ca="1" si="10"/>
        <v>0</v>
      </c>
      <c r="CG9" s="185" t="b">
        <f t="shared" ca="1" si="10"/>
        <v>0</v>
      </c>
      <c r="CH9" s="186" t="b">
        <f t="shared" ca="1" si="10"/>
        <v>0</v>
      </c>
      <c r="CI9" s="185" t="b">
        <f t="shared" ca="1" si="10"/>
        <v>0</v>
      </c>
      <c r="CJ9" s="184" t="b">
        <f t="shared" ca="1" si="10"/>
        <v>0</v>
      </c>
      <c r="CK9" s="184" t="b">
        <f t="shared" ca="1" si="10"/>
        <v>0</v>
      </c>
      <c r="CM9" s="184" t="b">
        <f t="shared" ref="CM9:CS9" ca="1" si="11">IF(OR($CM$5="P",$CM$5="SS",$CM$5="S"),INDEX(INDIRECT($CM$6),$B9,CM$8),
IF(OR($CM$5="N",$CM$5="AP",$CM$5="AT",$CM$5="SP"),INDEX(INDIRECT($CM$7),$B9,CM$8)))</f>
        <v>0</v>
      </c>
      <c r="CN9" s="184" t="b">
        <f t="shared" ca="1" si="11"/>
        <v>0</v>
      </c>
      <c r="CO9" s="185" t="b">
        <f t="shared" ca="1" si="11"/>
        <v>0</v>
      </c>
      <c r="CP9" s="186" t="b">
        <f t="shared" ca="1" si="11"/>
        <v>0</v>
      </c>
      <c r="CQ9" s="185" t="b">
        <f t="shared" ca="1" si="11"/>
        <v>0</v>
      </c>
      <c r="CR9" s="184" t="b">
        <f t="shared" ca="1" si="11"/>
        <v>0</v>
      </c>
      <c r="CS9" s="184" t="b">
        <f t="shared" ca="1" si="11"/>
        <v>0</v>
      </c>
      <c r="CU9" s="184" t="b">
        <f t="shared" ref="CU9:DA9" ca="1" si="12">IF(OR($CU$5="P",$CU$5="SS",$CU$5="S"),INDEX(INDIRECT($CU$6),$B9,CU$8),
IF(OR($CU$5="N",$CU$5="AP",$CU$5="AT",$CU$5="SP"),INDEX(INDIRECT($CU$7),$B9,CU$8)))</f>
        <v>0</v>
      </c>
      <c r="CV9" s="184" t="b">
        <f t="shared" ca="1" si="12"/>
        <v>0</v>
      </c>
      <c r="CW9" s="185" t="b">
        <f t="shared" ca="1" si="12"/>
        <v>0</v>
      </c>
      <c r="CX9" s="186" t="b">
        <f t="shared" ca="1" si="12"/>
        <v>0</v>
      </c>
      <c r="CY9" s="185" t="b">
        <f t="shared" ca="1" si="12"/>
        <v>0</v>
      </c>
      <c r="CZ9" s="184" t="b">
        <f t="shared" ca="1" si="12"/>
        <v>0</v>
      </c>
      <c r="DA9" s="184" t="b">
        <f t="shared" ca="1" si="12"/>
        <v>0</v>
      </c>
      <c r="DC9" s="184" t="b">
        <f t="shared" ref="DC9:DI9" ca="1" si="13">IF(OR($DC$5="P",$DC$5="SS",$DC$5="S"),INDEX(INDIRECT($DC$6),$B9,DC$8),
IF(OR($DC$5="N",$DC$5="AP",$DC$5="AT",$DC$5="SP"),INDEX(INDIRECT($DC$7),$B9,DC$8)))</f>
        <v>0</v>
      </c>
      <c r="DD9" s="184" t="b">
        <f t="shared" ca="1" si="13"/>
        <v>0</v>
      </c>
      <c r="DE9" s="185" t="b">
        <f t="shared" ca="1" si="13"/>
        <v>0</v>
      </c>
      <c r="DF9" s="186" t="b">
        <f t="shared" ca="1" si="13"/>
        <v>0</v>
      </c>
      <c r="DG9" s="185" t="b">
        <f t="shared" ca="1" si="13"/>
        <v>0</v>
      </c>
      <c r="DH9" s="184" t="b">
        <f t="shared" ca="1" si="13"/>
        <v>0</v>
      </c>
      <c r="DI9" s="184" t="b">
        <f t="shared" ca="1" si="13"/>
        <v>0</v>
      </c>
      <c r="DK9" s="184" t="b">
        <f t="shared" ref="DK9:DQ9" ca="1" si="14">IF(OR($DK$5="P",$DK$5="SS",$DK$5="S"),INDEX(INDIRECT($DK$6),$B9,DK$8),
IF(OR($DK$5="N",$DK$5="AP",$DK$5="AT",$DK$5="SP"),INDEX(INDIRECT($DK$7),$B9,DK$8)))</f>
        <v>0</v>
      </c>
      <c r="DL9" s="184" t="b">
        <f t="shared" ca="1" si="14"/>
        <v>0</v>
      </c>
      <c r="DM9" s="185" t="b">
        <f t="shared" ca="1" si="14"/>
        <v>0</v>
      </c>
      <c r="DN9" s="186" t="b">
        <f t="shared" ca="1" si="14"/>
        <v>0</v>
      </c>
      <c r="DO9" s="185" t="b">
        <f t="shared" ca="1" si="14"/>
        <v>0</v>
      </c>
      <c r="DP9" s="184" t="b">
        <f t="shared" ca="1" si="14"/>
        <v>0</v>
      </c>
      <c r="DQ9" s="184" t="b">
        <f t="shared" ca="1" si="14"/>
        <v>0</v>
      </c>
      <c r="DS9" s="184" t="b">
        <f t="shared" ref="DS9:DY9" ca="1" si="15">IF(OR($DS$5="P",$DS$5="SS",$DS$5="S"),INDEX(INDIRECT($DS$6),$B9,DS$8),
IF(OR($DS$5="N",$DS$5="AP",$DS$5="AT",$DS$5="SP"),INDEX(INDIRECT($DS$7),$B9,DS$8)))</f>
        <v>0</v>
      </c>
      <c r="DT9" s="184" t="b">
        <f t="shared" ca="1" si="15"/>
        <v>0</v>
      </c>
      <c r="DU9" s="185" t="b">
        <f t="shared" ca="1" si="15"/>
        <v>0</v>
      </c>
      <c r="DV9" s="186" t="b">
        <f t="shared" ca="1" si="15"/>
        <v>0</v>
      </c>
      <c r="DW9" s="185" t="b">
        <f t="shared" ca="1" si="15"/>
        <v>0</v>
      </c>
      <c r="DX9" s="184" t="b">
        <f t="shared" ca="1" si="15"/>
        <v>0</v>
      </c>
      <c r="DY9" s="184" t="b">
        <f t="shared" ca="1" si="15"/>
        <v>0</v>
      </c>
      <c r="EA9" s="184" t="b">
        <f t="shared" ref="EA9:EG9" ca="1" si="16">IF(OR($EA$5="P",$EA$5="SS",$EA$5="S"),INDEX(INDIRECT($EA$6),$B9,EA$8),
IF(OR($EA$5="N",$EA$5="AP",$EA$5="AT",$EA$5="SP"),INDEX(INDIRECT($EA$7),$B9,EA$8)))</f>
        <v>0</v>
      </c>
      <c r="EB9" s="184" t="b">
        <f t="shared" ca="1" si="16"/>
        <v>0</v>
      </c>
      <c r="EC9" s="185" t="b">
        <f t="shared" ca="1" si="16"/>
        <v>0</v>
      </c>
      <c r="ED9" s="186" t="b">
        <f t="shared" ca="1" si="16"/>
        <v>0</v>
      </c>
      <c r="EE9" s="185" t="b">
        <f t="shared" ca="1" si="16"/>
        <v>0</v>
      </c>
      <c r="EF9" s="184" t="b">
        <f t="shared" ca="1" si="16"/>
        <v>0</v>
      </c>
      <c r="EG9" s="184" t="b">
        <f t="shared" ca="1" si="16"/>
        <v>0</v>
      </c>
      <c r="EI9" s="184" t="b">
        <f t="shared" ref="EI9:EO9" ca="1" si="17">IF(OR($EI$5="P",$EI$5="SS",$EI$5="S"),INDEX(INDIRECT($EI$6),$B9,EI$8),
IF(OR($EI$5="N",$EI$5="AP",$EI$5="AT",$EI$5="SP"),INDEX(INDIRECT($EI$7),$B9,EI$8)))</f>
        <v>0</v>
      </c>
      <c r="EJ9" s="184" t="b">
        <f t="shared" ca="1" si="17"/>
        <v>0</v>
      </c>
      <c r="EK9" s="185" t="b">
        <f t="shared" ca="1" si="17"/>
        <v>0</v>
      </c>
      <c r="EL9" s="186" t="b">
        <f t="shared" ca="1" si="17"/>
        <v>0</v>
      </c>
      <c r="EM9" s="185" t="b">
        <f t="shared" ca="1" si="17"/>
        <v>0</v>
      </c>
      <c r="EN9" s="184" t="b">
        <f t="shared" ca="1" si="17"/>
        <v>0</v>
      </c>
      <c r="EO9" s="184" t="b">
        <f t="shared" ca="1" si="17"/>
        <v>0</v>
      </c>
      <c r="EQ9" s="184" t="b">
        <f t="shared" ref="EQ9:EW9" ca="1" si="18">IF(OR($EQ$5="P",$EQ$5="SS",$EQ$5="S"),INDEX(INDIRECT($EQ$6),$B9,EQ$8),
IF(OR($EQ$5="N",$EQ$5="AP",$EQ$5="AT",$EQ$5="SP"),INDEX(INDIRECT($EQ$7),$B9,EQ$8)))</f>
        <v>0</v>
      </c>
      <c r="ER9" s="184" t="b">
        <f t="shared" ca="1" si="18"/>
        <v>0</v>
      </c>
      <c r="ES9" s="185" t="b">
        <f t="shared" ca="1" si="18"/>
        <v>0</v>
      </c>
      <c r="ET9" s="186" t="b">
        <f t="shared" ca="1" si="18"/>
        <v>0</v>
      </c>
      <c r="EU9" s="185" t="b">
        <f t="shared" ca="1" si="18"/>
        <v>0</v>
      </c>
      <c r="EV9" s="184" t="b">
        <f t="shared" ca="1" si="18"/>
        <v>0</v>
      </c>
      <c r="EW9" s="184" t="b">
        <f t="shared" ca="1" si="18"/>
        <v>0</v>
      </c>
      <c r="EY9" s="184" t="b">
        <f t="shared" ref="EY9:FE9" ca="1" si="19">IF(OR($EY$5="P",$EY$5="SS",$EY$5="S"),INDEX(INDIRECT($EY$6),$B9,EY$8),
IF(OR($EY$5="N",$EY$5="AP",$EY$5="AT",$EY$5="SP"),INDEX(INDIRECT($EY$7),$B9,EY$8)))</f>
        <v>0</v>
      </c>
      <c r="EZ9" s="184" t="b">
        <f t="shared" ca="1" si="19"/>
        <v>0</v>
      </c>
      <c r="FA9" s="185" t="b">
        <f t="shared" ca="1" si="19"/>
        <v>0</v>
      </c>
      <c r="FB9" s="186" t="b">
        <f t="shared" ca="1" si="19"/>
        <v>0</v>
      </c>
      <c r="FC9" s="185" t="b">
        <f t="shared" ca="1" si="19"/>
        <v>0</v>
      </c>
      <c r="FD9" s="184" t="b">
        <f t="shared" ca="1" si="19"/>
        <v>0</v>
      </c>
      <c r="FE9" s="184" t="b">
        <f t="shared" ca="1" si="19"/>
        <v>0</v>
      </c>
    </row>
    <row r="10" spans="1:161" x14ac:dyDescent="0.2">
      <c r="A10" s="183" t="s">
        <v>104</v>
      </c>
      <c r="B10" s="183">
        <v>2</v>
      </c>
      <c r="C10" s="186"/>
      <c r="D10" s="186"/>
      <c r="E10" s="185">
        <f t="shared" ref="E10:I11" ca="1" si="20">IF(OR($C$5="P",$C$5="SS",$C$5="S"),INDEX(INDIRECT($C$6),$B10,E$8),
IF(OR($C$5="N",$C$5="AP",$C$5="AT",$C$5="SP"),INDEX(INDIRECT($C$7),$B10,E$8)))</f>
        <v>0.01</v>
      </c>
      <c r="F10" s="186">
        <f t="shared" ca="1" si="20"/>
        <v>1.4999999999999999E-2</v>
      </c>
      <c r="G10" s="185">
        <f t="shared" ca="1" si="20"/>
        <v>0.02</v>
      </c>
      <c r="H10" s="184">
        <f t="shared" ca="1" si="20"/>
        <v>0.03</v>
      </c>
      <c r="I10" s="184">
        <f t="shared" ca="1" si="20"/>
        <v>0.04</v>
      </c>
      <c r="K10" s="186"/>
      <c r="L10" s="186"/>
      <c r="M10" s="185" t="b">
        <f t="shared" ref="M10:Q11" ca="1" si="21">IF(OR($K$5="P",$K$5="SS",$K$5="S"),INDEX(INDIRECT($K$6),$B10,M$8),
IF(OR($K$5="N",$K$5="AP",$K$5="AT",$K$5="SP"),INDEX(INDIRECT($K$7),$B10,M$8)))</f>
        <v>0</v>
      </c>
      <c r="N10" s="186" t="b">
        <f t="shared" ca="1" si="21"/>
        <v>0</v>
      </c>
      <c r="O10" s="185" t="b">
        <f t="shared" ca="1" si="21"/>
        <v>0</v>
      </c>
      <c r="P10" s="184" t="b">
        <f t="shared" ca="1" si="21"/>
        <v>0</v>
      </c>
      <c r="Q10" s="184" t="b">
        <f t="shared" ca="1" si="21"/>
        <v>0</v>
      </c>
      <c r="S10" s="186"/>
      <c r="T10" s="186"/>
      <c r="U10" s="185" t="b">
        <f t="shared" ref="U10:Y11" ca="1" si="22">IF(OR($S$5="P",$S$5="SS",$S$5="S"),INDEX(INDIRECT($S$6),$B10,U$8),
IF(OR($S$5="N",$S$5="AP",$S$5="AT",$S$5="SP"),INDEX(INDIRECT($S$7),$B10,U$8)))</f>
        <v>0</v>
      </c>
      <c r="V10" s="186" t="b">
        <f t="shared" ca="1" si="22"/>
        <v>0</v>
      </c>
      <c r="W10" s="185" t="b">
        <f t="shared" ca="1" si="22"/>
        <v>0</v>
      </c>
      <c r="X10" s="184" t="b">
        <f t="shared" ca="1" si="22"/>
        <v>0</v>
      </c>
      <c r="Y10" s="184" t="b">
        <f t="shared" ca="1" si="22"/>
        <v>0</v>
      </c>
      <c r="AA10" s="186"/>
      <c r="AB10" s="186"/>
      <c r="AC10" s="185" t="b">
        <f t="shared" ref="AC10:AG11" ca="1" si="23">IF(OR($AA$5="P",$AA$5="SS",$AA$5="S"),INDEX(INDIRECT($AA$6),$B10,AC$8),
IF(OR($AA$5="N",$AA$5="AP",$AA$5="AT",$AA$5="SP"),INDEX(INDIRECT($AA$7),$B10,AC$8)))</f>
        <v>0</v>
      </c>
      <c r="AD10" s="186" t="b">
        <f t="shared" ca="1" si="23"/>
        <v>0</v>
      </c>
      <c r="AE10" s="185" t="b">
        <f t="shared" ca="1" si="23"/>
        <v>0</v>
      </c>
      <c r="AF10" s="184" t="b">
        <f t="shared" ca="1" si="23"/>
        <v>0</v>
      </c>
      <c r="AG10" s="184" t="b">
        <f t="shared" ca="1" si="23"/>
        <v>0</v>
      </c>
      <c r="AI10" s="186"/>
      <c r="AJ10" s="186"/>
      <c r="AK10" s="185" t="b">
        <f t="shared" ref="AK10:AO11" ca="1" si="24">IF(OR($AI$5="P",$AI$5="SS",$AI$5="S"),INDEX(INDIRECT($AI$6),$B10,AK$8),
IF(OR($AI$5="N",$AI$5="AP",$AI$5="AT",$AI$5="SP"),INDEX(INDIRECT($AI$7),$B10,AK$8)))</f>
        <v>0</v>
      </c>
      <c r="AL10" s="186" t="b">
        <f t="shared" ca="1" si="24"/>
        <v>0</v>
      </c>
      <c r="AM10" s="185" t="b">
        <f t="shared" ca="1" si="24"/>
        <v>0</v>
      </c>
      <c r="AN10" s="184" t="b">
        <f t="shared" ca="1" si="24"/>
        <v>0</v>
      </c>
      <c r="AO10" s="184" t="b">
        <f t="shared" ca="1" si="24"/>
        <v>0</v>
      </c>
      <c r="AQ10" s="186"/>
      <c r="AR10" s="186"/>
      <c r="AS10" s="185" t="b">
        <f t="shared" ref="AS10:AW11" ca="1" si="25">IF(OR($AQ$5="P",$AQ$5="SS",$AQ$5="S"),INDEX(INDIRECT($AQ$6),$B10,AS$8),
IF(OR($AQ$5="N",$AQ$5="AP",$AQ$5="AT",$AQ$5="SP"),INDEX(INDIRECT($AQ$7),$B10,AS$8)))</f>
        <v>0</v>
      </c>
      <c r="AT10" s="186" t="b">
        <f t="shared" ca="1" si="25"/>
        <v>0</v>
      </c>
      <c r="AU10" s="185" t="b">
        <f t="shared" ca="1" si="25"/>
        <v>0</v>
      </c>
      <c r="AV10" s="184" t="b">
        <f t="shared" ca="1" si="25"/>
        <v>0</v>
      </c>
      <c r="AW10" s="184" t="b">
        <f t="shared" ca="1" si="25"/>
        <v>0</v>
      </c>
      <c r="AY10" s="186"/>
      <c r="AZ10" s="186"/>
      <c r="BA10" s="185" t="b">
        <f t="shared" ref="BA10:BE11" ca="1" si="26">IF(OR($AY$5="P",$AY$5="SS",$AY$5="S"),INDEX(INDIRECT($AY$6),$B10,BA$8),
IF(OR($AY$5="N",$AY$5="AP",$AY$5="AT",$AY$5="SP"),INDEX(INDIRECT($AY$7),$B10,BA$8)))</f>
        <v>0</v>
      </c>
      <c r="BB10" s="186" t="b">
        <f t="shared" ca="1" si="26"/>
        <v>0</v>
      </c>
      <c r="BC10" s="185" t="b">
        <f t="shared" ca="1" si="26"/>
        <v>0</v>
      </c>
      <c r="BD10" s="184" t="b">
        <f t="shared" ca="1" si="26"/>
        <v>0</v>
      </c>
      <c r="BE10" s="184" t="b">
        <f t="shared" ca="1" si="26"/>
        <v>0</v>
      </c>
      <c r="BG10" s="186"/>
      <c r="BH10" s="186"/>
      <c r="BI10" s="185" t="b">
        <f t="shared" ref="BI10:BM11" ca="1" si="27">IF(OR($BG$5="P",$BG$5="SS",$BG$5="S"),INDEX(INDIRECT($BG$6),$B10,BI$8),
IF(OR($BG$5="N",$BG$5="AP",$BG$5="AT",$BG$5="SP"),INDEX(INDIRECT($BG$7),$B10,BI$8)))</f>
        <v>0</v>
      </c>
      <c r="BJ10" s="186" t="b">
        <f t="shared" ca="1" si="27"/>
        <v>0</v>
      </c>
      <c r="BK10" s="185" t="b">
        <f t="shared" ca="1" si="27"/>
        <v>0</v>
      </c>
      <c r="BL10" s="184" t="b">
        <f t="shared" ca="1" si="27"/>
        <v>0</v>
      </c>
      <c r="BM10" s="184" t="b">
        <f t="shared" ca="1" si="27"/>
        <v>0</v>
      </c>
      <c r="BO10" s="186"/>
      <c r="BP10" s="186"/>
      <c r="BQ10" s="185" t="b">
        <f t="shared" ref="BQ10:BU11" ca="1" si="28">IF(OR($BO$5="P",$BO$5="SS",$BO$5="S"),INDEX(INDIRECT($BO$6),$B10,BQ$8),
IF(OR($BO$5="N",$BO$5="AP",$BO$5="AT",$BO$5="SP"),INDEX(INDIRECT($BO$7),$B10,BQ$8)))</f>
        <v>0</v>
      </c>
      <c r="BR10" s="186" t="b">
        <f t="shared" ca="1" si="28"/>
        <v>0</v>
      </c>
      <c r="BS10" s="185" t="b">
        <f t="shared" ca="1" si="28"/>
        <v>0</v>
      </c>
      <c r="BT10" s="184" t="b">
        <f t="shared" ca="1" si="28"/>
        <v>0</v>
      </c>
      <c r="BU10" s="184" t="b">
        <f t="shared" ca="1" si="28"/>
        <v>0</v>
      </c>
      <c r="BV10" s="187"/>
      <c r="BW10" s="186"/>
      <c r="BX10" s="186"/>
      <c r="BY10" s="185" t="b">
        <f t="shared" ref="BY10:CC11" ca="1" si="29">IF(OR($BW$5="P",$BW$5="SS",$BW$5="S"),INDEX(INDIRECT($BW$6),$B10,BY$8),
IF(OR($BW$5="N",$BW$5="AP",$BW$5="AT",$BW$5="SP"),INDEX(INDIRECT($BW$7),$B10,BY$8)))</f>
        <v>0</v>
      </c>
      <c r="BZ10" s="186" t="b">
        <f t="shared" ca="1" si="29"/>
        <v>0</v>
      </c>
      <c r="CA10" s="185" t="b">
        <f t="shared" ca="1" si="29"/>
        <v>0</v>
      </c>
      <c r="CB10" s="184" t="b">
        <f t="shared" ca="1" si="29"/>
        <v>0</v>
      </c>
      <c r="CC10" s="184" t="b">
        <f t="shared" ca="1" si="29"/>
        <v>0</v>
      </c>
      <c r="CE10" s="186"/>
      <c r="CF10" s="186"/>
      <c r="CG10" s="185" t="b">
        <f t="shared" ref="CG10:CK11" ca="1" si="30">IF(OR($CE$5="P",$CE$5="SS",$CE$5="S"),INDEX(INDIRECT($CE$6),$B10,CG$8),
IF(OR($CE$5="N",$CE$5="AP",$CE$5="AT",$CE$5="SP"),INDEX(INDIRECT($CE$7),$B10,CG$8)))</f>
        <v>0</v>
      </c>
      <c r="CH10" s="186" t="b">
        <f t="shared" ca="1" si="30"/>
        <v>0</v>
      </c>
      <c r="CI10" s="185" t="b">
        <f t="shared" ca="1" si="30"/>
        <v>0</v>
      </c>
      <c r="CJ10" s="184" t="b">
        <f t="shared" ca="1" si="30"/>
        <v>0</v>
      </c>
      <c r="CK10" s="184" t="b">
        <f t="shared" ca="1" si="30"/>
        <v>0</v>
      </c>
      <c r="CM10" s="186"/>
      <c r="CN10" s="186"/>
      <c r="CO10" s="185" t="b">
        <f t="shared" ref="CO10:CS11" ca="1" si="31">IF(OR($CM$5="P",$CM$5="SS",$CM$5="S"),INDEX(INDIRECT($CM$6),$B10,CO$8),
IF(OR($CM$5="N",$CM$5="AP",$CM$5="AT",$CM$5="SP"),INDEX(INDIRECT($CM$7),$B10,CO$8)))</f>
        <v>0</v>
      </c>
      <c r="CP10" s="186" t="b">
        <f t="shared" ca="1" si="31"/>
        <v>0</v>
      </c>
      <c r="CQ10" s="185" t="b">
        <f t="shared" ca="1" si="31"/>
        <v>0</v>
      </c>
      <c r="CR10" s="184" t="b">
        <f t="shared" ca="1" si="31"/>
        <v>0</v>
      </c>
      <c r="CS10" s="184" t="b">
        <f t="shared" ca="1" si="31"/>
        <v>0</v>
      </c>
      <c r="CU10" s="186"/>
      <c r="CV10" s="186"/>
      <c r="CW10" s="185" t="b">
        <f t="shared" ref="CW10:DA11" ca="1" si="32">IF(OR($CU$5="P",$CU$5="SS",$CU$5="S"),INDEX(INDIRECT($CU$6),$B10,CW$8),
IF(OR($CU$5="N",$CU$5="AP",$CU$5="AT",$CU$5="SP"),INDEX(INDIRECT($CU$7),$B10,CW$8)))</f>
        <v>0</v>
      </c>
      <c r="CX10" s="186" t="b">
        <f t="shared" ca="1" si="32"/>
        <v>0</v>
      </c>
      <c r="CY10" s="185" t="b">
        <f t="shared" ca="1" si="32"/>
        <v>0</v>
      </c>
      <c r="CZ10" s="184" t="b">
        <f t="shared" ca="1" si="32"/>
        <v>0</v>
      </c>
      <c r="DA10" s="184" t="b">
        <f t="shared" ca="1" si="32"/>
        <v>0</v>
      </c>
      <c r="DC10" s="186"/>
      <c r="DD10" s="186"/>
      <c r="DE10" s="185" t="b">
        <f t="shared" ref="DE10:DI11" ca="1" si="33">IF(OR($DC$5="P",$DC$5="SS",$DC$5="S"),INDEX(INDIRECT($DC$6),$B10,DE$8),
IF(OR($DC$5="N",$DC$5="AP",$DC$5="AT",$DC$5="SP"),INDEX(INDIRECT($DC$7),$B10,DE$8)))</f>
        <v>0</v>
      </c>
      <c r="DF10" s="186" t="b">
        <f t="shared" ca="1" si="33"/>
        <v>0</v>
      </c>
      <c r="DG10" s="185" t="b">
        <f t="shared" ca="1" si="33"/>
        <v>0</v>
      </c>
      <c r="DH10" s="184" t="b">
        <f t="shared" ca="1" si="33"/>
        <v>0</v>
      </c>
      <c r="DI10" s="184" t="b">
        <f t="shared" ca="1" si="33"/>
        <v>0</v>
      </c>
      <c r="DK10" s="186"/>
      <c r="DL10" s="186"/>
      <c r="DM10" s="185" t="b">
        <f t="shared" ref="DM10:DQ11" ca="1" si="34">IF(OR($DK$5="P",$DK$5="SS",$DK$5="S"),INDEX(INDIRECT($DK$6),$B10,DM$8),
IF(OR($DK$5="N",$DK$5="AP",$DK$5="AT",$DK$5="SP"),INDEX(INDIRECT($DK$7),$B10,DM$8)))</f>
        <v>0</v>
      </c>
      <c r="DN10" s="186" t="b">
        <f t="shared" ca="1" si="34"/>
        <v>0</v>
      </c>
      <c r="DO10" s="185" t="b">
        <f t="shared" ca="1" si="34"/>
        <v>0</v>
      </c>
      <c r="DP10" s="184" t="b">
        <f t="shared" ca="1" si="34"/>
        <v>0</v>
      </c>
      <c r="DQ10" s="184" t="b">
        <f t="shared" ca="1" si="34"/>
        <v>0</v>
      </c>
      <c r="DS10" s="186"/>
      <c r="DT10" s="186"/>
      <c r="DU10" s="185" t="b">
        <f t="shared" ref="DU10:DY11" ca="1" si="35">IF(OR($DS$5="P",$DS$5="SS",$DS$5="S"),INDEX(INDIRECT($DS$6),$B10,DU$8),
IF(OR($DS$5="N",$DS$5="AP",$DS$5="AT",$DS$5="SP"),INDEX(INDIRECT($DS$7),$B10,DU$8)))</f>
        <v>0</v>
      </c>
      <c r="DV10" s="186" t="b">
        <f t="shared" ca="1" si="35"/>
        <v>0</v>
      </c>
      <c r="DW10" s="185" t="b">
        <f t="shared" ca="1" si="35"/>
        <v>0</v>
      </c>
      <c r="DX10" s="184" t="b">
        <f t="shared" ca="1" si="35"/>
        <v>0</v>
      </c>
      <c r="DY10" s="184" t="b">
        <f t="shared" ca="1" si="35"/>
        <v>0</v>
      </c>
      <c r="EA10" s="186"/>
      <c r="EB10" s="186"/>
      <c r="EC10" s="185" t="b">
        <f t="shared" ref="EC10:EG11" ca="1" si="36">IF(OR($EA$5="P",$EA$5="SS",$EA$5="S"),INDEX(INDIRECT($EA$6),$B10,EC$8),
IF(OR($EA$5="N",$EA$5="AP",$EA$5="AT",$EA$5="SP"),INDEX(INDIRECT($EA$7),$B10,EC$8)))</f>
        <v>0</v>
      </c>
      <c r="ED10" s="186" t="b">
        <f t="shared" ca="1" si="36"/>
        <v>0</v>
      </c>
      <c r="EE10" s="185" t="b">
        <f t="shared" ca="1" si="36"/>
        <v>0</v>
      </c>
      <c r="EF10" s="184" t="b">
        <f t="shared" ca="1" si="36"/>
        <v>0</v>
      </c>
      <c r="EG10" s="184" t="b">
        <f t="shared" ca="1" si="36"/>
        <v>0</v>
      </c>
      <c r="EI10" s="186"/>
      <c r="EJ10" s="186"/>
      <c r="EK10" s="185" t="b">
        <f t="shared" ref="EK10:EO11" ca="1" si="37">IF(OR($EI$5="P",$EI$5="SS",$EI$5="S"),INDEX(INDIRECT($EI$6),$B10,EK$8),
IF(OR($EI$5="N",$EI$5="AP",$EI$5="AT",$EI$5="SP"),INDEX(INDIRECT($EI$7),$B10,EK$8)))</f>
        <v>0</v>
      </c>
      <c r="EL10" s="186" t="b">
        <f t="shared" ca="1" si="37"/>
        <v>0</v>
      </c>
      <c r="EM10" s="185" t="b">
        <f t="shared" ca="1" si="37"/>
        <v>0</v>
      </c>
      <c r="EN10" s="184" t="b">
        <f t="shared" ca="1" si="37"/>
        <v>0</v>
      </c>
      <c r="EO10" s="184" t="b">
        <f t="shared" ca="1" si="37"/>
        <v>0</v>
      </c>
      <c r="EQ10" s="186"/>
      <c r="ER10" s="186"/>
      <c r="ES10" s="185" t="b">
        <f t="shared" ref="ES10:EW11" ca="1" si="38">IF(OR($EQ$5="P",$EQ$5="SS",$EQ$5="S"),INDEX(INDIRECT($EQ$6),$B10,ES$8),
IF(OR($EQ$5="N",$EQ$5="AP",$EQ$5="AT",$EQ$5="SP"),INDEX(INDIRECT($EQ$7),$B10,ES$8)))</f>
        <v>0</v>
      </c>
      <c r="ET10" s="186" t="b">
        <f t="shared" ca="1" si="38"/>
        <v>0</v>
      </c>
      <c r="EU10" s="185" t="b">
        <f t="shared" ca="1" si="38"/>
        <v>0</v>
      </c>
      <c r="EV10" s="184" t="b">
        <f t="shared" ca="1" si="38"/>
        <v>0</v>
      </c>
      <c r="EW10" s="184" t="b">
        <f t="shared" ca="1" si="38"/>
        <v>0</v>
      </c>
      <c r="EY10" s="186"/>
      <c r="EZ10" s="186"/>
      <c r="FA10" s="185" t="b">
        <f t="shared" ref="FA10:FE11" ca="1" si="39">IF(OR($EY$5="P",$EY$5="SS",$EY$5="S"),INDEX(INDIRECT($EY$6),$B10,FA$8),
IF(OR($EY$5="N",$EY$5="AP",$EY$5="AT",$EY$5="SP"),INDEX(INDIRECT($EY$7),$B10,FA$8)))</f>
        <v>0</v>
      </c>
      <c r="FB10" s="186" t="b">
        <f t="shared" ca="1" si="39"/>
        <v>0</v>
      </c>
      <c r="FC10" s="185" t="b">
        <f t="shared" ca="1" si="39"/>
        <v>0</v>
      </c>
      <c r="FD10" s="184" t="b">
        <f t="shared" ca="1" si="39"/>
        <v>0</v>
      </c>
      <c r="FE10" s="184" t="b">
        <f t="shared" ca="1" si="39"/>
        <v>0</v>
      </c>
    </row>
    <row r="11" spans="1:161" x14ac:dyDescent="0.2">
      <c r="A11" s="183" t="s">
        <v>105</v>
      </c>
      <c r="B11" s="183">
        <v>3</v>
      </c>
      <c r="C11" s="186"/>
      <c r="D11" s="186"/>
      <c r="E11" s="185">
        <f t="shared" ca="1" si="20"/>
        <v>8.5000000000000006E-2</v>
      </c>
      <c r="F11" s="186">
        <f t="shared" ca="1" si="20"/>
        <v>0.09</v>
      </c>
      <c r="G11" s="185">
        <f t="shared" ca="1" si="20"/>
        <v>0.1</v>
      </c>
      <c r="H11" s="184">
        <f t="shared" ca="1" si="20"/>
        <v>0.115</v>
      </c>
      <c r="I11" s="184">
        <f t="shared" ca="1" si="20"/>
        <v>0.13</v>
      </c>
      <c r="K11" s="186"/>
      <c r="L11" s="186"/>
      <c r="M11" s="185" t="b">
        <f t="shared" ca="1" si="21"/>
        <v>0</v>
      </c>
      <c r="N11" s="186" t="b">
        <f t="shared" ca="1" si="21"/>
        <v>0</v>
      </c>
      <c r="O11" s="185" t="b">
        <f t="shared" ca="1" si="21"/>
        <v>0</v>
      </c>
      <c r="P11" s="184" t="b">
        <f t="shared" ca="1" si="21"/>
        <v>0</v>
      </c>
      <c r="Q11" s="184" t="b">
        <f t="shared" ca="1" si="21"/>
        <v>0</v>
      </c>
      <c r="S11" s="186"/>
      <c r="T11" s="186"/>
      <c r="U11" s="185" t="b">
        <f t="shared" ca="1" si="22"/>
        <v>0</v>
      </c>
      <c r="V11" s="186" t="b">
        <f t="shared" ca="1" si="22"/>
        <v>0</v>
      </c>
      <c r="W11" s="185" t="b">
        <f t="shared" ca="1" si="22"/>
        <v>0</v>
      </c>
      <c r="X11" s="184" t="b">
        <f t="shared" ca="1" si="22"/>
        <v>0</v>
      </c>
      <c r="Y11" s="184" t="b">
        <f t="shared" ca="1" si="22"/>
        <v>0</v>
      </c>
      <c r="AA11" s="186"/>
      <c r="AB11" s="186"/>
      <c r="AC11" s="185" t="b">
        <f t="shared" ca="1" si="23"/>
        <v>0</v>
      </c>
      <c r="AD11" s="186" t="b">
        <f t="shared" ca="1" si="23"/>
        <v>0</v>
      </c>
      <c r="AE11" s="185" t="b">
        <f t="shared" ca="1" si="23"/>
        <v>0</v>
      </c>
      <c r="AF11" s="184" t="b">
        <f t="shared" ca="1" si="23"/>
        <v>0</v>
      </c>
      <c r="AG11" s="184" t="b">
        <f t="shared" ca="1" si="23"/>
        <v>0</v>
      </c>
      <c r="AI11" s="186"/>
      <c r="AJ11" s="186"/>
      <c r="AK11" s="185" t="b">
        <f t="shared" ca="1" si="24"/>
        <v>0</v>
      </c>
      <c r="AL11" s="186" t="b">
        <f t="shared" ca="1" si="24"/>
        <v>0</v>
      </c>
      <c r="AM11" s="185" t="b">
        <f t="shared" ca="1" si="24"/>
        <v>0</v>
      </c>
      <c r="AN11" s="184" t="b">
        <f t="shared" ca="1" si="24"/>
        <v>0</v>
      </c>
      <c r="AO11" s="184" t="b">
        <f t="shared" ca="1" si="24"/>
        <v>0</v>
      </c>
      <c r="AQ11" s="186"/>
      <c r="AR11" s="186"/>
      <c r="AS11" s="185" t="b">
        <f t="shared" ca="1" si="25"/>
        <v>0</v>
      </c>
      <c r="AT11" s="186" t="b">
        <f t="shared" ca="1" si="25"/>
        <v>0</v>
      </c>
      <c r="AU11" s="185" t="b">
        <f t="shared" ca="1" si="25"/>
        <v>0</v>
      </c>
      <c r="AV11" s="184" t="b">
        <f t="shared" ca="1" si="25"/>
        <v>0</v>
      </c>
      <c r="AW11" s="184" t="b">
        <f t="shared" ca="1" si="25"/>
        <v>0</v>
      </c>
      <c r="AY11" s="186"/>
      <c r="AZ11" s="186"/>
      <c r="BA11" s="185" t="b">
        <f t="shared" ca="1" si="26"/>
        <v>0</v>
      </c>
      <c r="BB11" s="186" t="b">
        <f t="shared" ca="1" si="26"/>
        <v>0</v>
      </c>
      <c r="BC11" s="185" t="b">
        <f t="shared" ca="1" si="26"/>
        <v>0</v>
      </c>
      <c r="BD11" s="184" t="b">
        <f t="shared" ca="1" si="26"/>
        <v>0</v>
      </c>
      <c r="BE11" s="184" t="b">
        <f t="shared" ca="1" si="26"/>
        <v>0</v>
      </c>
      <c r="BG11" s="186"/>
      <c r="BH11" s="186"/>
      <c r="BI11" s="185" t="b">
        <f t="shared" ca="1" si="27"/>
        <v>0</v>
      </c>
      <c r="BJ11" s="186" t="b">
        <f t="shared" ca="1" si="27"/>
        <v>0</v>
      </c>
      <c r="BK11" s="185" t="b">
        <f t="shared" ca="1" si="27"/>
        <v>0</v>
      </c>
      <c r="BL11" s="184" t="b">
        <f t="shared" ca="1" si="27"/>
        <v>0</v>
      </c>
      <c r="BM11" s="184" t="b">
        <f t="shared" ca="1" si="27"/>
        <v>0</v>
      </c>
      <c r="BO11" s="186"/>
      <c r="BP11" s="186"/>
      <c r="BQ11" s="185" t="b">
        <f t="shared" ca="1" si="28"/>
        <v>0</v>
      </c>
      <c r="BR11" s="186" t="b">
        <f t="shared" ca="1" si="28"/>
        <v>0</v>
      </c>
      <c r="BS11" s="185" t="b">
        <f t="shared" ca="1" si="28"/>
        <v>0</v>
      </c>
      <c r="BT11" s="184" t="b">
        <f t="shared" ca="1" si="28"/>
        <v>0</v>
      </c>
      <c r="BU11" s="184" t="b">
        <f t="shared" ca="1" si="28"/>
        <v>0</v>
      </c>
      <c r="BV11" s="187"/>
      <c r="BW11" s="186"/>
      <c r="BX11" s="186"/>
      <c r="BY11" s="185" t="b">
        <f t="shared" ca="1" si="29"/>
        <v>0</v>
      </c>
      <c r="BZ11" s="186" t="b">
        <f t="shared" ca="1" si="29"/>
        <v>0</v>
      </c>
      <c r="CA11" s="185" t="b">
        <f t="shared" ca="1" si="29"/>
        <v>0</v>
      </c>
      <c r="CB11" s="184" t="b">
        <f t="shared" ca="1" si="29"/>
        <v>0</v>
      </c>
      <c r="CC11" s="184" t="b">
        <f t="shared" ca="1" si="29"/>
        <v>0</v>
      </c>
      <c r="CE11" s="186"/>
      <c r="CF11" s="186"/>
      <c r="CG11" s="185" t="b">
        <f t="shared" ca="1" si="30"/>
        <v>0</v>
      </c>
      <c r="CH11" s="186" t="b">
        <f t="shared" ca="1" si="30"/>
        <v>0</v>
      </c>
      <c r="CI11" s="185" t="b">
        <f t="shared" ca="1" si="30"/>
        <v>0</v>
      </c>
      <c r="CJ11" s="184" t="b">
        <f t="shared" ca="1" si="30"/>
        <v>0</v>
      </c>
      <c r="CK11" s="184" t="b">
        <f t="shared" ca="1" si="30"/>
        <v>0</v>
      </c>
      <c r="CM11" s="186"/>
      <c r="CN11" s="186"/>
      <c r="CO11" s="185" t="b">
        <f t="shared" ca="1" si="31"/>
        <v>0</v>
      </c>
      <c r="CP11" s="186" t="b">
        <f t="shared" ca="1" si="31"/>
        <v>0</v>
      </c>
      <c r="CQ11" s="185" t="b">
        <f t="shared" ca="1" si="31"/>
        <v>0</v>
      </c>
      <c r="CR11" s="184" t="b">
        <f t="shared" ca="1" si="31"/>
        <v>0</v>
      </c>
      <c r="CS11" s="184" t="b">
        <f t="shared" ca="1" si="31"/>
        <v>0</v>
      </c>
      <c r="CU11" s="186"/>
      <c r="CV11" s="186"/>
      <c r="CW11" s="185" t="b">
        <f t="shared" ca="1" si="32"/>
        <v>0</v>
      </c>
      <c r="CX11" s="186" t="b">
        <f t="shared" ca="1" si="32"/>
        <v>0</v>
      </c>
      <c r="CY11" s="185" t="b">
        <f t="shared" ca="1" si="32"/>
        <v>0</v>
      </c>
      <c r="CZ11" s="184" t="b">
        <f t="shared" ca="1" si="32"/>
        <v>0</v>
      </c>
      <c r="DA11" s="184" t="b">
        <f t="shared" ca="1" si="32"/>
        <v>0</v>
      </c>
      <c r="DC11" s="186"/>
      <c r="DD11" s="186"/>
      <c r="DE11" s="185" t="b">
        <f t="shared" ca="1" si="33"/>
        <v>0</v>
      </c>
      <c r="DF11" s="186" t="b">
        <f t="shared" ca="1" si="33"/>
        <v>0</v>
      </c>
      <c r="DG11" s="185" t="b">
        <f t="shared" ca="1" si="33"/>
        <v>0</v>
      </c>
      <c r="DH11" s="184" t="b">
        <f t="shared" ca="1" si="33"/>
        <v>0</v>
      </c>
      <c r="DI11" s="184" t="b">
        <f t="shared" ca="1" si="33"/>
        <v>0</v>
      </c>
      <c r="DK11" s="186"/>
      <c r="DL11" s="186"/>
      <c r="DM11" s="185" t="b">
        <f t="shared" ca="1" si="34"/>
        <v>0</v>
      </c>
      <c r="DN11" s="186" t="b">
        <f t="shared" ca="1" si="34"/>
        <v>0</v>
      </c>
      <c r="DO11" s="185" t="b">
        <f t="shared" ca="1" si="34"/>
        <v>0</v>
      </c>
      <c r="DP11" s="184" t="b">
        <f t="shared" ca="1" si="34"/>
        <v>0</v>
      </c>
      <c r="DQ11" s="184" t="b">
        <f t="shared" ca="1" si="34"/>
        <v>0</v>
      </c>
      <c r="DS11" s="186"/>
      <c r="DT11" s="186"/>
      <c r="DU11" s="185" t="b">
        <f t="shared" ca="1" si="35"/>
        <v>0</v>
      </c>
      <c r="DV11" s="186" t="b">
        <f t="shared" ca="1" si="35"/>
        <v>0</v>
      </c>
      <c r="DW11" s="185" t="b">
        <f t="shared" ca="1" si="35"/>
        <v>0</v>
      </c>
      <c r="DX11" s="184" t="b">
        <f t="shared" ca="1" si="35"/>
        <v>0</v>
      </c>
      <c r="DY11" s="184" t="b">
        <f t="shared" ca="1" si="35"/>
        <v>0</v>
      </c>
      <c r="EA11" s="186"/>
      <c r="EB11" s="186"/>
      <c r="EC11" s="185" t="b">
        <f t="shared" ca="1" si="36"/>
        <v>0</v>
      </c>
      <c r="ED11" s="186" t="b">
        <f t="shared" ca="1" si="36"/>
        <v>0</v>
      </c>
      <c r="EE11" s="185" t="b">
        <f t="shared" ca="1" si="36"/>
        <v>0</v>
      </c>
      <c r="EF11" s="184" t="b">
        <f t="shared" ca="1" si="36"/>
        <v>0</v>
      </c>
      <c r="EG11" s="184" t="b">
        <f t="shared" ca="1" si="36"/>
        <v>0</v>
      </c>
      <c r="EI11" s="186"/>
      <c r="EJ11" s="186"/>
      <c r="EK11" s="185" t="b">
        <f t="shared" ca="1" si="37"/>
        <v>0</v>
      </c>
      <c r="EL11" s="186" t="b">
        <f t="shared" ca="1" si="37"/>
        <v>0</v>
      </c>
      <c r="EM11" s="185" t="b">
        <f t="shared" ca="1" si="37"/>
        <v>0</v>
      </c>
      <c r="EN11" s="184" t="b">
        <f t="shared" ca="1" si="37"/>
        <v>0</v>
      </c>
      <c r="EO11" s="184" t="b">
        <f t="shared" ca="1" si="37"/>
        <v>0</v>
      </c>
      <c r="EQ11" s="186"/>
      <c r="ER11" s="186"/>
      <c r="ES11" s="185" t="b">
        <f t="shared" ca="1" si="38"/>
        <v>0</v>
      </c>
      <c r="ET11" s="186" t="b">
        <f t="shared" ca="1" si="38"/>
        <v>0</v>
      </c>
      <c r="EU11" s="185" t="b">
        <f t="shared" ca="1" si="38"/>
        <v>0</v>
      </c>
      <c r="EV11" s="184" t="b">
        <f t="shared" ca="1" si="38"/>
        <v>0</v>
      </c>
      <c r="EW11" s="184" t="b">
        <f t="shared" ca="1" si="38"/>
        <v>0</v>
      </c>
      <c r="EY11" s="186"/>
      <c r="EZ11" s="186"/>
      <c r="FA11" s="185" t="b">
        <f t="shared" ca="1" si="39"/>
        <v>0</v>
      </c>
      <c r="FB11" s="186" t="b">
        <f t="shared" ca="1" si="39"/>
        <v>0</v>
      </c>
      <c r="FC11" s="185" t="b">
        <f t="shared" ca="1" si="39"/>
        <v>0</v>
      </c>
      <c r="FD11" s="184" t="b">
        <f t="shared" ca="1" si="39"/>
        <v>0</v>
      </c>
      <c r="FE11" s="184" t="b">
        <f t="shared" ca="1" si="39"/>
        <v>0</v>
      </c>
    </row>
    <row r="12" spans="1:161" x14ac:dyDescent="0.2">
      <c r="A12" s="183" t="s">
        <v>106</v>
      </c>
      <c r="B12" s="183">
        <v>4</v>
      </c>
      <c r="C12" s="186"/>
      <c r="D12" s="186"/>
      <c r="E12" s="186"/>
      <c r="F12" s="186">
        <f t="shared" ref="F12:F19" ca="1" si="40">IF(OR($C$5="P",$C$5="SS",$C$5="S"),INDEX(INDIRECT($C$6),$B12,F$8),
IF(OR($C$5="N",$C$5="AP",$C$5="AT",$C$5="SP"),INDEX(INDIRECT($C$7),$B12,F$8)))</f>
        <v>0.06</v>
      </c>
      <c r="G12" s="186"/>
      <c r="H12" s="184">
        <f ca="1">IF(OR($C$5="P",$C$5="SS",$C$5="S"),INDEX(INDIRECT($C$6),$B12,H$8),
IF(OR($C$5="N",$C$5="AP",$C$5="AT",$C$5="SP"),INDEX(INDIRECT($C$7),$B12,H$8)))</f>
        <v>0.08</v>
      </c>
      <c r="I12" s="184">
        <f ca="1">IF(OR($C$5="P",$C$5="SS",$C$5="S"),INDEX(INDIRECT($C$6),$B12,I$8),
IF(OR($C$5="N",$C$5="AP",$C$5="AT",$C$5="SP"),INDEX(INDIRECT($C$7),$B12,I$8)))</f>
        <v>0.1</v>
      </c>
      <c r="K12" s="186"/>
      <c r="L12" s="186"/>
      <c r="M12" s="186"/>
      <c r="N12" s="186" t="b">
        <f t="shared" ref="N12:N19" ca="1" si="41">IF(OR($K$5="P",$K$5="SS",$K$5="S"),INDEX(INDIRECT($K$6),$B12,N$8),
IF(OR($K$5="N",$K$5="AP",$K$5="AT",$K$5="SP"),INDEX(INDIRECT($K$7),$B12,N$8)))</f>
        <v>0</v>
      </c>
      <c r="O12" s="186"/>
      <c r="P12" s="184" t="b">
        <f ca="1">IF(OR($K$5="P",$K$5="SS",$K$5="S"),INDEX(INDIRECT($K$6),$B12,P$8),
IF(OR($K$5="N",$K$5="AP",$K$5="AT",$K$5="SP"),INDEX(INDIRECT($K$7),$B12,P$8)))</f>
        <v>0</v>
      </c>
      <c r="Q12" s="184" t="b">
        <f ca="1">IF(OR($K$5="P",$K$5="SS",$K$5="S"),INDEX(INDIRECT($K$6),$B12,Q$8),
IF(OR($K$5="N",$K$5="AP",$K$5="AT",$K$5="SP"),INDEX(INDIRECT($K$7),$B12,Q$8)))</f>
        <v>0</v>
      </c>
      <c r="S12" s="186"/>
      <c r="T12" s="186"/>
      <c r="U12" s="186"/>
      <c r="V12" s="186" t="b">
        <f t="shared" ref="V12:V19" ca="1" si="42">IF(OR($S$5="P",$S$5="SS",$S$5="S"),INDEX(INDIRECT($S$6),$B12,V$8),
IF(OR($S$5="N",$S$5="AP",$S$5="AT",$S$5="SP"),INDEX(INDIRECT($S$7),$B12,V$8)))</f>
        <v>0</v>
      </c>
      <c r="W12" s="186"/>
      <c r="X12" s="184" t="b">
        <f ca="1">IF(OR($S$5="P",$S$5="SS",$S$5="S"),INDEX(INDIRECT($S$6),$B12,X$8),
IF(OR($S$5="N",$S$5="AP",$S$5="AT",$S$5="SP"),INDEX(INDIRECT($S$7),$B12,X$8)))</f>
        <v>0</v>
      </c>
      <c r="Y12" s="184" t="b">
        <f ca="1">IF(OR($S$5="P",$S$5="SS",$S$5="S"),INDEX(INDIRECT($S$6),$B12,Y$8),
IF(OR($S$5="N",$S$5="AP",$S$5="AT",$S$5="SP"),INDEX(INDIRECT($S$7),$B12,Y$8)))</f>
        <v>0</v>
      </c>
      <c r="AA12" s="186"/>
      <c r="AB12" s="186"/>
      <c r="AC12" s="186"/>
      <c r="AD12" s="186" t="b">
        <f t="shared" ref="AD12:AD19" ca="1" si="43">IF(OR($AA$5="P",$AA$5="SS",$AA$5="S"),INDEX(INDIRECT($AA$6),$B12,AD$8),
IF(OR($AA$5="N",$AA$5="AP",$AA$5="AT",$AA$5="SP"),INDEX(INDIRECT($AA$7),$B12,AD$8)))</f>
        <v>0</v>
      </c>
      <c r="AE12" s="186"/>
      <c r="AF12" s="184" t="b">
        <f ca="1">IF(OR($AA$5="P",$AA$5="SS",$AA$5="S"),INDEX(INDIRECT($AA$6),$B12,AF$8),
IF(OR($AA$5="N",$AA$5="AP",$AA$5="AT",$AA$5="SP"),INDEX(INDIRECT($AA$7),$B12,AF$8)))</f>
        <v>0</v>
      </c>
      <c r="AG12" s="184" t="b">
        <f ca="1">IF(OR($AA$5="P",$AA$5="SS",$AA$5="S"),INDEX(INDIRECT($AA$6),$B12,AG$8),
IF(OR($AA$5="N",$AA$5="AP",$AA$5="AT",$AA$5="SP"),INDEX(INDIRECT($AA$7),$B12,AG$8)))</f>
        <v>0</v>
      </c>
      <c r="AI12" s="186"/>
      <c r="AJ12" s="186"/>
      <c r="AK12" s="186"/>
      <c r="AL12" s="186" t="b">
        <f t="shared" ref="AL12:AL19" ca="1" si="44">IF(OR($AI$5="P",$AI$5="SS",$AI$5="S"),INDEX(INDIRECT($AI$6),$B12,AL$8),
IF(OR($AI$5="N",$AI$5="AP",$AI$5="AT",$AI$5="SP"),INDEX(INDIRECT($AI$7),$B12,AL$8)))</f>
        <v>0</v>
      </c>
      <c r="AM12" s="186"/>
      <c r="AN12" s="184" t="b">
        <f ca="1">IF(OR($AI$5="P",$AI$5="SS",$AI$5="S"),INDEX(INDIRECT($AI$6),$B12,AN$8),
IF(OR($AI$5="N",$AI$5="AP",$AI$5="AT",$AI$5="SP"),INDEX(INDIRECT($AI$7),$B12,AN$8)))</f>
        <v>0</v>
      </c>
      <c r="AO12" s="184" t="b">
        <f ca="1">IF(OR($AI$5="P",$AI$5="SS",$AI$5="S"),INDEX(INDIRECT($AI$6),$B12,AO$8),
IF(OR($AI$5="N",$AI$5="AP",$AI$5="AT",$AI$5="SP"),INDEX(INDIRECT($AI$7),$B12,AO$8)))</f>
        <v>0</v>
      </c>
      <c r="AQ12" s="186"/>
      <c r="AR12" s="186"/>
      <c r="AS12" s="186"/>
      <c r="AT12" s="186" t="b">
        <f t="shared" ref="AT12:AT19" ca="1" si="45">IF(OR($AQ$5="P",$AQ$5="SS",$AQ$5="S"),INDEX(INDIRECT($AQ$6),$B12,AT$8),
IF(OR($AQ$5="N",$AQ$5="AP",$AQ$5="AT",$AQ$5="SP"),INDEX(INDIRECT($AQ$7),$B12,AT$8)))</f>
        <v>0</v>
      </c>
      <c r="AU12" s="186"/>
      <c r="AV12" s="184" t="b">
        <f ca="1">IF(OR($AQ$5="P",$AQ$5="SS",$AQ$5="S"),INDEX(INDIRECT($AQ$6),$B12,AV$8),
IF(OR($AQ$5="N",$AQ$5="AP",$AQ$5="AT",$AQ$5="SP"),INDEX(INDIRECT($AQ$7),$B12,AV$8)))</f>
        <v>0</v>
      </c>
      <c r="AW12" s="184" t="b">
        <f ca="1">IF(OR($AQ$5="P",$AQ$5="SS",$AQ$5="S"),INDEX(INDIRECT($AQ$6),$B12,AW$8),
IF(OR($AQ$5="N",$AQ$5="AP",$AQ$5="AT",$AQ$5="SP"),INDEX(INDIRECT($AQ$7),$B12,AW$8)))</f>
        <v>0</v>
      </c>
      <c r="AY12" s="186"/>
      <c r="AZ12" s="186"/>
      <c r="BA12" s="186"/>
      <c r="BB12" s="186" t="b">
        <f t="shared" ref="BB12:BB19" ca="1" si="46">IF(OR($AY$5="P",$AY$5="SS",$AY$5="S"),INDEX(INDIRECT($AY$6),$B12,BB$8),
IF(OR($AY$5="N",$AY$5="AP",$AY$5="AT",$AY$5="SP"),INDEX(INDIRECT($AY$7),$B12,BB$8)))</f>
        <v>0</v>
      </c>
      <c r="BC12" s="186"/>
      <c r="BD12" s="184" t="b">
        <f ca="1">IF(OR($AY$5="P",$AY$5="SS",$AY$5="S"),INDEX(INDIRECT($AY$6),$B12,BD$8),
IF(OR($AY$5="N",$AY$5="AP",$AY$5="AT",$AY$5="SP"),INDEX(INDIRECT($AY$7),$B12,BD$8)))</f>
        <v>0</v>
      </c>
      <c r="BE12" s="184" t="b">
        <f ca="1">IF(OR($AY$5="P",$AY$5="SS",$AY$5="S"),INDEX(INDIRECT($AY$6),$B12,BE$8),
IF(OR($AY$5="N",$AY$5="AP",$AY$5="AT",$AY$5="SP"),INDEX(INDIRECT($AY$7),$B12,BE$8)))</f>
        <v>0</v>
      </c>
      <c r="BG12" s="186"/>
      <c r="BH12" s="186"/>
      <c r="BI12" s="186"/>
      <c r="BJ12" s="186" t="b">
        <f t="shared" ref="BJ12:BJ19" ca="1" si="47">IF(OR($BG$5="P",$BG$5="SS",$BG$5="S"),INDEX(INDIRECT($BG$6),$B12,BJ$8),
IF(OR($BG$5="N",$BG$5="AP",$BG$5="AT",$BG$5="SP"),INDEX(INDIRECT($BG$7),$B12,BJ$8)))</f>
        <v>0</v>
      </c>
      <c r="BK12" s="186"/>
      <c r="BL12" s="184" t="b">
        <f ca="1">IF(OR($BG$5="P",$BG$5="SS",$BG$5="S"),INDEX(INDIRECT($BG$6),$B12,BL$8),
IF(OR($BG$5="N",$BG$5="AP",$BG$5="AT",$BG$5="SP"),INDEX(INDIRECT($BG$7),$B12,BL$8)))</f>
        <v>0</v>
      </c>
      <c r="BM12" s="184" t="b">
        <f ca="1">IF(OR($BG$5="P",$BG$5="SS",$BG$5="S"),INDEX(INDIRECT($BG$6),$B12,BM$8),
IF(OR($BG$5="N",$BG$5="AP",$BG$5="AT",$BG$5="SP"),INDEX(INDIRECT($BG$7),$B12,BM$8)))</f>
        <v>0</v>
      </c>
      <c r="BO12" s="186"/>
      <c r="BP12" s="186"/>
      <c r="BQ12" s="186"/>
      <c r="BR12" s="186" t="b">
        <f t="shared" ref="BR12:BR19" ca="1" si="48">IF(OR($BO$5="P",$BO$5="SS",$BO$5="S"),INDEX(INDIRECT($BO$6),$B12,BR$8),
IF(OR($BO$5="N",$BO$5="AP",$BO$5="AT",$BO$5="SP"),INDEX(INDIRECT($BO$7),$B12,BR$8)))</f>
        <v>0</v>
      </c>
      <c r="BS12" s="186"/>
      <c r="BT12" s="184" t="b">
        <f ca="1">IF(OR($BO$5="P",$BO$5="SS",$BO$5="S"),INDEX(INDIRECT($BO$6),$B12,BT$8),
IF(OR($BO$5="N",$BO$5="AP",$BO$5="AT",$BO$5="SP"),INDEX(INDIRECT($BO$7),$B12,BT$8)))</f>
        <v>0</v>
      </c>
      <c r="BU12" s="184" t="b">
        <f ca="1">IF(OR($BO$5="P",$BO$5="SS",$BO$5="S"),INDEX(INDIRECT($BO$6),$B12,BU$8),
IF(OR($BO$5="N",$BO$5="AP",$BO$5="AT",$BO$5="SP"),INDEX(INDIRECT($BO$7),$B12,BU$8)))</f>
        <v>0</v>
      </c>
      <c r="BV12" s="187"/>
      <c r="BW12" s="186"/>
      <c r="BX12" s="186"/>
      <c r="BY12" s="186"/>
      <c r="BZ12" s="186" t="b">
        <f t="shared" ref="BZ12:BZ19" ca="1" si="49">IF(OR($BW$5="P",$BW$5="SS",$BW$5="S"),INDEX(INDIRECT($BW$6),$B12,BZ$8),
IF(OR($BW$5="N",$BW$5="AP",$BW$5="AT",$BW$5="SP"),INDEX(INDIRECT($BW$7),$B12,BZ$8)))</f>
        <v>0</v>
      </c>
      <c r="CA12" s="186"/>
      <c r="CB12" s="184" t="b">
        <f ca="1">IF(OR($BW$5="P",$BW$5="SS",$BW$5="S"),INDEX(INDIRECT($BW$6),$B12,CB$8),
IF(OR($BW$5="N",$BW$5="AP",$BW$5="AT",$BW$5="SP"),INDEX(INDIRECT($BW$7),$B12,CB$8)))</f>
        <v>0</v>
      </c>
      <c r="CC12" s="184" t="b">
        <f ca="1">IF(OR($BW$5="P",$BW$5="SS",$BW$5="S"),INDEX(INDIRECT($BW$6),$B12,CC$8),
IF(OR($BW$5="N",$BW$5="AP",$BW$5="AT",$BW$5="SP"),INDEX(INDIRECT($BW$7),$B12,CC$8)))</f>
        <v>0</v>
      </c>
      <c r="CE12" s="186"/>
      <c r="CF12" s="186"/>
      <c r="CG12" s="186"/>
      <c r="CH12" s="186" t="b">
        <f t="shared" ref="CH12:CH19" ca="1" si="50">IF(OR($CE$5="P",$CE$5="SS",$CE$5="S"),INDEX(INDIRECT($CE$6),$B12,CH$8),
IF(OR($CE$5="N",$CE$5="AP",$CE$5="AT",$CE$5="SP"),INDEX(INDIRECT($CE$7),$B12,CH$8)))</f>
        <v>0</v>
      </c>
      <c r="CI12" s="186"/>
      <c r="CJ12" s="184" t="b">
        <f ca="1">IF(OR($CE$5="P",$CE$5="SS",$CE$5="S"),INDEX(INDIRECT($CE$6),$B12,CJ$8),
IF(OR($CE$5="N",$CE$5="AP",$CE$5="AT",$CE$5="SP"),INDEX(INDIRECT($CE$7),$B12,CJ$8)))</f>
        <v>0</v>
      </c>
      <c r="CK12" s="184" t="b">
        <f ca="1">IF(OR($CE$5="P",$CE$5="SS",$CE$5="S"),INDEX(INDIRECT($CE$6),$B12,CK$8),
IF(OR($CE$5="N",$CE$5="AP",$CE$5="AT",$CE$5="SP"),INDEX(INDIRECT($CE$7),$B12,CK$8)))</f>
        <v>0</v>
      </c>
      <c r="CM12" s="186"/>
      <c r="CN12" s="186"/>
      <c r="CO12" s="186"/>
      <c r="CP12" s="186" t="b">
        <f t="shared" ref="CP12:CP19" ca="1" si="51">IF(OR($CM$5="P",$CM$5="SS",$CM$5="S"),INDEX(INDIRECT($CM$6),$B12,CP$8),
IF(OR($CM$5="N",$CM$5="AP",$CM$5="AT",$CM$5="SP"),INDEX(INDIRECT($CM$7),$B12,CP$8)))</f>
        <v>0</v>
      </c>
      <c r="CQ12" s="186"/>
      <c r="CR12" s="184" t="b">
        <f ca="1">IF(OR($CM$5="P",$CM$5="SS",$CM$5="S"),INDEX(INDIRECT($CM$6),$B12,CR$8),
IF(OR($CM$5="N",$CM$5="AP",$CM$5="AT",$CM$5="SP"),INDEX(INDIRECT($CM$7),$B12,CR$8)))</f>
        <v>0</v>
      </c>
      <c r="CS12" s="184" t="b">
        <f ca="1">IF(OR($CM$5="P",$CM$5="SS",$CM$5="S"),INDEX(INDIRECT($CM$6),$B12,CS$8),
IF(OR($CM$5="N",$CM$5="AP",$CM$5="AT",$CM$5="SP"),INDEX(INDIRECT($CM$7),$B12,CS$8)))</f>
        <v>0</v>
      </c>
      <c r="CU12" s="186"/>
      <c r="CV12" s="186"/>
      <c r="CW12" s="186"/>
      <c r="CX12" s="186" t="b">
        <f t="shared" ref="CX12:CX19" ca="1" si="52">IF(OR($CU$5="P",$CU$5="SS",$CU$5="S"),INDEX(INDIRECT($CU$6),$B12,CX$8),
IF(OR($CU$5="N",$CU$5="AP",$CU$5="AT",$CU$5="SP"),INDEX(INDIRECT($CU$7),$B12,CX$8)))</f>
        <v>0</v>
      </c>
      <c r="CY12" s="186"/>
      <c r="CZ12" s="184" t="b">
        <f ca="1">IF(OR($CU$5="P",$CU$5="SS",$CU$5="S"),INDEX(INDIRECT($CU$6),$B12,CZ$8),
IF(OR($CU$5="N",$CU$5="AP",$CU$5="AT",$CU$5="SP"),INDEX(INDIRECT($CU$7),$B12,CZ$8)))</f>
        <v>0</v>
      </c>
      <c r="DA12" s="184" t="b">
        <f ca="1">IF(OR($CU$5="P",$CU$5="SS",$CU$5="S"),INDEX(INDIRECT($CU$6),$B12,DA$8),
IF(OR($CU$5="N",$CU$5="AP",$CU$5="AT",$CU$5="SP"),INDEX(INDIRECT($CU$7),$B12,DA$8)))</f>
        <v>0</v>
      </c>
      <c r="DC12" s="186"/>
      <c r="DD12" s="186"/>
      <c r="DE12" s="186"/>
      <c r="DF12" s="186" t="b">
        <f t="shared" ref="DF12:DF19" ca="1" si="53">IF(OR($DC$5="P",$DC$5="SS",$DC$5="S"),INDEX(INDIRECT($DC$6),$B12,DF$8),
IF(OR($DC$5="N",$DC$5="AP",$DC$5="AT",$DC$5="SP"),INDEX(INDIRECT($DC$7),$B12,DF$8)))</f>
        <v>0</v>
      </c>
      <c r="DG12" s="186"/>
      <c r="DH12" s="184" t="b">
        <f ca="1">IF(OR($DC$5="P",$DC$5="SS",$DC$5="S"),INDEX(INDIRECT($DC$6),$B12,DH$8),
IF(OR($DC$5="N",$DC$5="AP",$DC$5="AT",$DC$5="SP"),INDEX(INDIRECT($DC$7),$B12,DH$8)))</f>
        <v>0</v>
      </c>
      <c r="DI12" s="184" t="b">
        <f ca="1">IF(OR($DC$5="P",$DC$5="SS",$DC$5="S"),INDEX(INDIRECT($DC$6),$B12,DI$8),
IF(OR($DC$5="N",$DC$5="AP",$DC$5="AT",$DC$5="SP"),INDEX(INDIRECT($DC$7),$B12,DI$8)))</f>
        <v>0</v>
      </c>
      <c r="DK12" s="186"/>
      <c r="DL12" s="186"/>
      <c r="DM12" s="186"/>
      <c r="DN12" s="186" t="b">
        <f t="shared" ref="DN12:DN19" ca="1" si="54">IF(OR($DK$5="P",$DK$5="SS",$DK$5="S"),INDEX(INDIRECT($DK$6),$B12,DN$8),
IF(OR($DK$5="N",$DK$5="AP",$DK$5="AT",$DK$5="SP"),INDEX(INDIRECT($DK$7),$B12,DN$8)))</f>
        <v>0</v>
      </c>
      <c r="DO12" s="186"/>
      <c r="DP12" s="184" t="b">
        <f ca="1">IF(OR($DK$5="P",$DK$5="SS",$DK$5="S"),INDEX(INDIRECT($DK$6),$B12,DP$8),
IF(OR($DK$5="N",$DK$5="AP",$DK$5="AT",$DK$5="SP"),INDEX(INDIRECT($DK$7),$B12,DP$8)))</f>
        <v>0</v>
      </c>
      <c r="DQ12" s="184" t="b">
        <f ca="1">IF(OR($DK$5="P",$DK$5="SS",$DK$5="S"),INDEX(INDIRECT($DK$6),$B12,DQ$8),
IF(OR($DK$5="N",$DK$5="AP",$DK$5="AT",$DK$5="SP"),INDEX(INDIRECT($DK$7),$B12,DQ$8)))</f>
        <v>0</v>
      </c>
      <c r="DS12" s="186"/>
      <c r="DT12" s="186"/>
      <c r="DU12" s="186"/>
      <c r="DV12" s="186" t="b">
        <f t="shared" ref="DV12:DV19" ca="1" si="55">IF(OR($DS$5="P",$DS$5="SS",$DS$5="S"),INDEX(INDIRECT($DS$6),$B12,DV$8),
IF(OR($DS$5="N",$DS$5="AP",$DS$5="AT",$DS$5="SP"),INDEX(INDIRECT($DS$7),$B12,DV$8)))</f>
        <v>0</v>
      </c>
      <c r="DW12" s="186"/>
      <c r="DX12" s="184" t="b">
        <f ca="1">IF(OR($DS$5="P",$DS$5="SS",$DS$5="S"),INDEX(INDIRECT($DS$6),$B12,DX$8),
IF(OR($DS$5="N",$DS$5="AP",$DS$5="AT",$DS$5="SP"),INDEX(INDIRECT($DS$7),$B12,DX$8)))</f>
        <v>0</v>
      </c>
      <c r="DY12" s="184" t="b">
        <f ca="1">IF(OR($DS$5="P",$DS$5="SS",$DS$5="S"),INDEX(INDIRECT($DS$6),$B12,DY$8),
IF(OR($DS$5="N",$DS$5="AP",$DS$5="AT",$DS$5="SP"),INDEX(INDIRECT($DS$7),$B12,DY$8)))</f>
        <v>0</v>
      </c>
      <c r="EA12" s="186"/>
      <c r="EB12" s="186"/>
      <c r="EC12" s="186"/>
      <c r="ED12" s="186" t="b">
        <f t="shared" ref="ED12:ED19" ca="1" si="56">IF(OR($EA$5="P",$EA$5="SS",$EA$5="S"),INDEX(INDIRECT($EA$6),$B12,ED$8),
IF(OR($EA$5="N",$EA$5="AP",$EA$5="AT",$EA$5="SP"),INDEX(INDIRECT($EA$7),$B12,ED$8)))</f>
        <v>0</v>
      </c>
      <c r="EE12" s="186"/>
      <c r="EF12" s="184" t="b">
        <f ca="1">IF(OR($EA$5="P",$EA$5="SS",$EA$5="S"),INDEX(INDIRECT($EA$6),$B12,EF$8),
IF(OR($EA$5="N",$EA$5="AP",$EA$5="AT",$EA$5="SP"),INDEX(INDIRECT($EA$7),$B12,EF$8)))</f>
        <v>0</v>
      </c>
      <c r="EG12" s="184" t="b">
        <f ca="1">IF(OR($EA$5="P",$EA$5="SS",$EA$5="S"),INDEX(INDIRECT($EA$6),$B12,EG$8),
IF(OR($EA$5="N",$EA$5="AP",$EA$5="AT",$EA$5="SP"),INDEX(INDIRECT($EA$7),$B12,EG$8)))</f>
        <v>0</v>
      </c>
      <c r="EI12" s="186"/>
      <c r="EJ12" s="186"/>
      <c r="EK12" s="186"/>
      <c r="EL12" s="186" t="b">
        <f t="shared" ref="EL12:EL19" ca="1" si="57">IF(OR($EI$5="P",$EI$5="SS",$EI$5="S"),INDEX(INDIRECT($EI$6),$B12,EL$8),
IF(OR($EI$5="N",$EI$5="AP",$EI$5="AT",$EI$5="SP"),INDEX(INDIRECT($EI$7),$B12,EL$8)))</f>
        <v>0</v>
      </c>
      <c r="EM12" s="186"/>
      <c r="EN12" s="184" t="b">
        <f ca="1">IF(OR($EI$5="P",$EI$5="SS",$EI$5="S"),INDEX(INDIRECT($EI$6),$B12,EN$8),
IF(OR($EI$5="N",$EI$5="AP",$EI$5="AT",$EI$5="SP"),INDEX(INDIRECT($EI$7),$B12,EN$8)))</f>
        <v>0</v>
      </c>
      <c r="EO12" s="184" t="b">
        <f ca="1">IF(OR($EI$5="P",$EI$5="SS",$EI$5="S"),INDEX(INDIRECT($EI$6),$B12,EO$8),
IF(OR($EI$5="N",$EI$5="AP",$EI$5="AT",$EI$5="SP"),INDEX(INDIRECT($EI$7),$B12,EO$8)))</f>
        <v>0</v>
      </c>
      <c r="EQ12" s="186"/>
      <c r="ER12" s="186"/>
      <c r="ES12" s="186"/>
      <c r="ET12" s="186" t="b">
        <f t="shared" ref="ET12:ET19" ca="1" si="58">IF(OR($EQ$5="P",$EQ$5="SS",$EQ$5="S"),INDEX(INDIRECT($EQ$6),$B12,ET$8),
IF(OR($EQ$5="N",$EQ$5="AP",$EQ$5="AT",$EQ$5="SP"),INDEX(INDIRECT($EQ$7),$B12,ET$8)))</f>
        <v>0</v>
      </c>
      <c r="EU12" s="186"/>
      <c r="EV12" s="184" t="b">
        <f ca="1">IF(OR($EQ$5="P",$EQ$5="SS",$EQ$5="S"),INDEX(INDIRECT($EQ$6),$B12,EV$8),
IF(OR($EQ$5="N",$EQ$5="AP",$EQ$5="AT",$EQ$5="SP"),INDEX(INDIRECT($EQ$7),$B12,EV$8)))</f>
        <v>0</v>
      </c>
      <c r="EW12" s="184" t="b">
        <f ca="1">IF(OR($EQ$5="P",$EQ$5="SS",$EQ$5="S"),INDEX(INDIRECT($EQ$6),$B12,EW$8),
IF(OR($EQ$5="N",$EQ$5="AP",$EQ$5="AT",$EQ$5="SP"),INDEX(INDIRECT($EQ$7),$B12,EW$8)))</f>
        <v>0</v>
      </c>
      <c r="EY12" s="186"/>
      <c r="EZ12" s="186"/>
      <c r="FA12" s="186"/>
      <c r="FB12" s="186" t="b">
        <f t="shared" ref="FB12:FB19" ca="1" si="59">IF(OR($EY$5="P",$EY$5="SS",$EY$5="S"),INDEX(INDIRECT($EY$6),$B12,FB$8),
IF(OR($EY$5="N",$EY$5="AP",$EY$5="AT",$EY$5="SP"),INDEX(INDIRECT($EY$7),$B12,FB$8)))</f>
        <v>0</v>
      </c>
      <c r="FC12" s="186"/>
      <c r="FD12" s="184" t="b">
        <f ca="1">IF(OR($EY$5="P",$EY$5="SS",$EY$5="S"),INDEX(INDIRECT($EY$6),$B12,FD$8),
IF(OR($EY$5="N",$EY$5="AP",$EY$5="AT",$EY$5="SP"),INDEX(INDIRECT($EY$7),$B12,FD$8)))</f>
        <v>0</v>
      </c>
      <c r="FE12" s="184" t="b">
        <f ca="1">IF(OR($EY$5="P",$EY$5="SS",$EY$5="S"),INDEX(INDIRECT($EY$6),$B12,FE$8),
IF(OR($EY$5="N",$EY$5="AP",$EY$5="AT",$EY$5="SP"),INDEX(INDIRECT($EY$7),$B12,FE$8)))</f>
        <v>0</v>
      </c>
    </row>
    <row r="13" spans="1:161" x14ac:dyDescent="0.2">
      <c r="A13" s="183" t="s">
        <v>107</v>
      </c>
      <c r="B13" s="183">
        <v>5</v>
      </c>
      <c r="C13" s="186"/>
      <c r="D13" s="186"/>
      <c r="E13" s="186"/>
      <c r="F13" s="186">
        <f t="shared" ca="1" si="40"/>
        <v>1.4999999999999999E-2</v>
      </c>
      <c r="G13" s="186"/>
      <c r="H13" s="184">
        <f ca="1">IF(OR($C$5="P",$C$5="SS",$C$5="S"),INDEX(INDIRECT($C$6),$B13,H$8),
IF(OR($C$5="N",$C$5="AP",$C$5="AT",$C$5="SP"),INDEX(INDIRECT($C$7),$B13,H$8)))</f>
        <v>0.03</v>
      </c>
      <c r="I13" s="184">
        <f ca="1">IF(OR($C$5="P",$C$5="SS",$C$5="S"),INDEX(INDIRECT($C$6),$B13,I$8),
IF(OR($C$5="N",$C$5="AP",$C$5="AT",$C$5="SP"),INDEX(INDIRECT($C$7),$B13,I$8)))</f>
        <v>0.05</v>
      </c>
      <c r="K13" s="186"/>
      <c r="L13" s="186"/>
      <c r="M13" s="186"/>
      <c r="N13" s="186" t="b">
        <f t="shared" ca="1" si="41"/>
        <v>0</v>
      </c>
      <c r="O13" s="186"/>
      <c r="P13" s="184" t="b">
        <f ca="1">IF(OR($K$5="P",$K$5="SS",$K$5="S"),INDEX(INDIRECT($K$6),$B13,P$8),
IF(OR($K$5="N",$K$5="AP",$K$5="AT",$K$5="SP"),INDEX(INDIRECT($K$7),$B13,P$8)))</f>
        <v>0</v>
      </c>
      <c r="Q13" s="184" t="b">
        <f ca="1">IF(OR($K$5="P",$K$5="SS",$K$5="S"),INDEX(INDIRECT($K$6),$B13,Q$8),
IF(OR($K$5="N",$K$5="AP",$K$5="AT",$K$5="SP"),INDEX(INDIRECT($K$7),$B13,Q$8)))</f>
        <v>0</v>
      </c>
      <c r="S13" s="186"/>
      <c r="T13" s="186"/>
      <c r="U13" s="186"/>
      <c r="V13" s="186" t="b">
        <f t="shared" ca="1" si="42"/>
        <v>0</v>
      </c>
      <c r="W13" s="186"/>
      <c r="X13" s="184" t="b">
        <f ca="1">IF(OR($S$5="P",$S$5="SS",$S$5="S"),INDEX(INDIRECT($S$6),$B13,X$8),
IF(OR($S$5="N",$S$5="AP",$S$5="AT",$S$5="SP"),INDEX(INDIRECT($S$7),$B13,X$8)))</f>
        <v>0</v>
      </c>
      <c r="Y13" s="184" t="b">
        <f ca="1">IF(OR($S$5="P",$S$5="SS",$S$5="S"),INDEX(INDIRECT($S$6),$B13,Y$8),
IF(OR($S$5="N",$S$5="AP",$S$5="AT",$S$5="SP"),INDEX(INDIRECT($S$7),$B13,Y$8)))</f>
        <v>0</v>
      </c>
      <c r="AA13" s="186"/>
      <c r="AB13" s="186"/>
      <c r="AC13" s="186"/>
      <c r="AD13" s="186" t="b">
        <f t="shared" ca="1" si="43"/>
        <v>0</v>
      </c>
      <c r="AE13" s="186"/>
      <c r="AF13" s="184" t="b">
        <f ca="1">IF(OR($AA$5="P",$AA$5="SS",$AA$5="S"),INDEX(INDIRECT($AA$6),$B13,AF$8),
IF(OR($AA$5="N",$AA$5="AP",$AA$5="AT",$AA$5="SP"),INDEX(INDIRECT($AA$7),$B13,AF$8)))</f>
        <v>0</v>
      </c>
      <c r="AG13" s="184" t="b">
        <f ca="1">IF(OR($AA$5="P",$AA$5="SS",$AA$5="S"),INDEX(INDIRECT($AA$6),$B13,AG$8),
IF(OR($AA$5="N",$AA$5="AP",$AA$5="AT",$AA$5="SP"),INDEX(INDIRECT($AA$7),$B13,AG$8)))</f>
        <v>0</v>
      </c>
      <c r="AI13" s="186"/>
      <c r="AJ13" s="186"/>
      <c r="AK13" s="186"/>
      <c r="AL13" s="186" t="b">
        <f t="shared" ca="1" si="44"/>
        <v>0</v>
      </c>
      <c r="AM13" s="186"/>
      <c r="AN13" s="184" t="b">
        <f ca="1">IF(OR($AI$5="P",$AI$5="SS",$AI$5="S"),INDEX(INDIRECT($AI$6),$B13,AN$8),
IF(OR($AI$5="N",$AI$5="AP",$AI$5="AT",$AI$5="SP"),INDEX(INDIRECT($AI$7),$B13,AN$8)))</f>
        <v>0</v>
      </c>
      <c r="AO13" s="184" t="b">
        <f ca="1">IF(OR($AI$5="P",$AI$5="SS",$AI$5="S"),INDEX(INDIRECT($AI$6),$B13,AO$8),
IF(OR($AI$5="N",$AI$5="AP",$AI$5="AT",$AI$5="SP"),INDEX(INDIRECT($AI$7),$B13,AO$8)))</f>
        <v>0</v>
      </c>
      <c r="AQ13" s="186"/>
      <c r="AR13" s="186"/>
      <c r="AS13" s="186"/>
      <c r="AT13" s="186" t="b">
        <f t="shared" ca="1" si="45"/>
        <v>0</v>
      </c>
      <c r="AU13" s="186"/>
      <c r="AV13" s="184" t="b">
        <f ca="1">IF(OR($AQ$5="P",$AQ$5="SS",$AQ$5="S"),INDEX(INDIRECT($AQ$6),$B13,AV$8),
IF(OR($AQ$5="N",$AQ$5="AP",$AQ$5="AT",$AQ$5="SP"),INDEX(INDIRECT($AQ$7),$B13,AV$8)))</f>
        <v>0</v>
      </c>
      <c r="AW13" s="184" t="b">
        <f ca="1">IF(OR($AQ$5="P",$AQ$5="SS",$AQ$5="S"),INDEX(INDIRECT($AQ$6),$B13,AW$8),
IF(OR($AQ$5="N",$AQ$5="AP",$AQ$5="AT",$AQ$5="SP"),INDEX(INDIRECT($AQ$7),$B13,AW$8)))</f>
        <v>0</v>
      </c>
      <c r="AY13" s="186"/>
      <c r="AZ13" s="186"/>
      <c r="BA13" s="186"/>
      <c r="BB13" s="186" t="b">
        <f t="shared" ca="1" si="46"/>
        <v>0</v>
      </c>
      <c r="BC13" s="186"/>
      <c r="BD13" s="184" t="b">
        <f ca="1">IF(OR($AY$5="P",$AY$5="SS",$AY$5="S"),INDEX(INDIRECT($AY$6),$B13,BD$8),
IF(OR($AY$5="N",$AY$5="AP",$AY$5="AT",$AY$5="SP"),INDEX(INDIRECT($AY$7),$B13,BD$8)))</f>
        <v>0</v>
      </c>
      <c r="BE13" s="184" t="b">
        <f ca="1">IF(OR($AY$5="P",$AY$5="SS",$AY$5="S"),INDEX(INDIRECT($AY$6),$B13,BE$8),
IF(OR($AY$5="N",$AY$5="AP",$AY$5="AT",$AY$5="SP"),INDEX(INDIRECT($AY$7),$B13,BE$8)))</f>
        <v>0</v>
      </c>
      <c r="BG13" s="186"/>
      <c r="BH13" s="186"/>
      <c r="BI13" s="186"/>
      <c r="BJ13" s="186" t="b">
        <f t="shared" ca="1" si="47"/>
        <v>0</v>
      </c>
      <c r="BK13" s="186"/>
      <c r="BL13" s="184" t="b">
        <f ca="1">IF(OR($BG$5="P",$BG$5="SS",$BG$5="S"),INDEX(INDIRECT($BG$6),$B13,BL$8),
IF(OR($BG$5="N",$BG$5="AP",$BG$5="AT",$BG$5="SP"),INDEX(INDIRECT($BG$7),$B13,BL$8)))</f>
        <v>0</v>
      </c>
      <c r="BM13" s="184" t="b">
        <f ca="1">IF(OR($BG$5="P",$BG$5="SS",$BG$5="S"),INDEX(INDIRECT($BG$6),$B13,BM$8),
IF(OR($BG$5="N",$BG$5="AP",$BG$5="AT",$BG$5="SP"),INDEX(INDIRECT($BG$7),$B13,BM$8)))</f>
        <v>0</v>
      </c>
      <c r="BO13" s="186"/>
      <c r="BP13" s="186"/>
      <c r="BQ13" s="186"/>
      <c r="BR13" s="186" t="b">
        <f t="shared" ca="1" si="48"/>
        <v>0</v>
      </c>
      <c r="BS13" s="186"/>
      <c r="BT13" s="184" t="b">
        <f ca="1">IF(OR($BO$5="P",$BO$5="SS",$BO$5="S"),INDEX(INDIRECT($BO$6),$B13,BT$8),
IF(OR($BO$5="N",$BO$5="AP",$BO$5="AT",$BO$5="SP"),INDEX(INDIRECT($BO$7),$B13,BT$8)))</f>
        <v>0</v>
      </c>
      <c r="BU13" s="184" t="b">
        <f ca="1">IF(OR($BO$5="P",$BO$5="SS",$BO$5="S"),INDEX(INDIRECT($BO$6),$B13,BU$8),
IF(OR($BO$5="N",$BO$5="AP",$BO$5="AT",$BO$5="SP"),INDEX(INDIRECT($BO$7),$B13,BU$8)))</f>
        <v>0</v>
      </c>
      <c r="BV13" s="187"/>
      <c r="BW13" s="186"/>
      <c r="BX13" s="186"/>
      <c r="BY13" s="186"/>
      <c r="BZ13" s="186" t="b">
        <f t="shared" ca="1" si="49"/>
        <v>0</v>
      </c>
      <c r="CA13" s="186"/>
      <c r="CB13" s="184" t="b">
        <f ca="1">IF(OR($BW$5="P",$BW$5="SS",$BW$5="S"),INDEX(INDIRECT($BW$6),$B13,CB$8),
IF(OR($BW$5="N",$BW$5="AP",$BW$5="AT",$BW$5="SP"),INDEX(INDIRECT($BW$7),$B13,CB$8)))</f>
        <v>0</v>
      </c>
      <c r="CC13" s="184" t="b">
        <f ca="1">IF(OR($BW$5="P",$BW$5="SS",$BW$5="S"),INDEX(INDIRECT($BW$6),$B13,CC$8),
IF(OR($BW$5="N",$BW$5="AP",$BW$5="AT",$BW$5="SP"),INDEX(INDIRECT($BW$7),$B13,CC$8)))</f>
        <v>0</v>
      </c>
      <c r="CE13" s="186"/>
      <c r="CF13" s="186"/>
      <c r="CG13" s="186"/>
      <c r="CH13" s="186" t="b">
        <f t="shared" ca="1" si="50"/>
        <v>0</v>
      </c>
      <c r="CI13" s="186"/>
      <c r="CJ13" s="184" t="b">
        <f ca="1">IF(OR($CE$5="P",$CE$5="SS",$CE$5="S"),INDEX(INDIRECT($CE$6),$B13,CJ$8),
IF(OR($CE$5="N",$CE$5="AP",$CE$5="AT",$CE$5="SP"),INDEX(INDIRECT($CE$7),$B13,CJ$8)))</f>
        <v>0</v>
      </c>
      <c r="CK13" s="184" t="b">
        <f ca="1">IF(OR($CE$5="P",$CE$5="SS",$CE$5="S"),INDEX(INDIRECT($CE$6),$B13,CK$8),
IF(OR($CE$5="N",$CE$5="AP",$CE$5="AT",$CE$5="SP"),INDEX(INDIRECT($CE$7),$B13,CK$8)))</f>
        <v>0</v>
      </c>
      <c r="CM13" s="186"/>
      <c r="CN13" s="186"/>
      <c r="CO13" s="186"/>
      <c r="CP13" s="186" t="b">
        <f t="shared" ca="1" si="51"/>
        <v>0</v>
      </c>
      <c r="CQ13" s="186"/>
      <c r="CR13" s="184" t="b">
        <f ca="1">IF(OR($CM$5="P",$CM$5="SS",$CM$5="S"),INDEX(INDIRECT($CM$6),$B13,CR$8),
IF(OR($CM$5="N",$CM$5="AP",$CM$5="AT",$CM$5="SP"),INDEX(INDIRECT($CM$7),$B13,CR$8)))</f>
        <v>0</v>
      </c>
      <c r="CS13" s="184" t="b">
        <f ca="1">IF(OR($CM$5="P",$CM$5="SS",$CM$5="S"),INDEX(INDIRECT($CM$6),$B13,CS$8),
IF(OR($CM$5="N",$CM$5="AP",$CM$5="AT",$CM$5="SP"),INDEX(INDIRECT($CM$7),$B13,CS$8)))</f>
        <v>0</v>
      </c>
      <c r="CU13" s="186"/>
      <c r="CV13" s="186"/>
      <c r="CW13" s="186"/>
      <c r="CX13" s="186" t="b">
        <f t="shared" ca="1" si="52"/>
        <v>0</v>
      </c>
      <c r="CY13" s="186"/>
      <c r="CZ13" s="184" t="b">
        <f ca="1">IF(OR($CU$5="P",$CU$5="SS",$CU$5="S"),INDEX(INDIRECT($CU$6),$B13,CZ$8),
IF(OR($CU$5="N",$CU$5="AP",$CU$5="AT",$CU$5="SP"),INDEX(INDIRECT($CU$7),$B13,CZ$8)))</f>
        <v>0</v>
      </c>
      <c r="DA13" s="184" t="b">
        <f ca="1">IF(OR($CU$5="P",$CU$5="SS",$CU$5="S"),INDEX(INDIRECT($CU$6),$B13,DA$8),
IF(OR($CU$5="N",$CU$5="AP",$CU$5="AT",$CU$5="SP"),INDEX(INDIRECT($CU$7),$B13,DA$8)))</f>
        <v>0</v>
      </c>
      <c r="DC13" s="186"/>
      <c r="DD13" s="186"/>
      <c r="DE13" s="186"/>
      <c r="DF13" s="186" t="b">
        <f t="shared" ca="1" si="53"/>
        <v>0</v>
      </c>
      <c r="DG13" s="186"/>
      <c r="DH13" s="184" t="b">
        <f ca="1">IF(OR($DC$5="P",$DC$5="SS",$DC$5="S"),INDEX(INDIRECT($DC$6),$B13,DH$8),
IF(OR($DC$5="N",$DC$5="AP",$DC$5="AT",$DC$5="SP"),INDEX(INDIRECT($DC$7),$B13,DH$8)))</f>
        <v>0</v>
      </c>
      <c r="DI13" s="184" t="b">
        <f ca="1">IF(OR($DC$5="P",$DC$5="SS",$DC$5="S"),INDEX(INDIRECT($DC$6),$B13,DI$8),
IF(OR($DC$5="N",$DC$5="AP",$DC$5="AT",$DC$5="SP"),INDEX(INDIRECT($DC$7),$B13,DI$8)))</f>
        <v>0</v>
      </c>
      <c r="DK13" s="186"/>
      <c r="DL13" s="186"/>
      <c r="DM13" s="186"/>
      <c r="DN13" s="186" t="b">
        <f t="shared" ca="1" si="54"/>
        <v>0</v>
      </c>
      <c r="DO13" s="186"/>
      <c r="DP13" s="184" t="b">
        <f ca="1">IF(OR($DK$5="P",$DK$5="SS",$DK$5="S"),INDEX(INDIRECT($DK$6),$B13,DP$8),
IF(OR($DK$5="N",$DK$5="AP",$DK$5="AT",$DK$5="SP"),INDEX(INDIRECT($DK$7),$B13,DP$8)))</f>
        <v>0</v>
      </c>
      <c r="DQ13" s="184" t="b">
        <f ca="1">IF(OR($DK$5="P",$DK$5="SS",$DK$5="S"),INDEX(INDIRECT($DK$6),$B13,DQ$8),
IF(OR($DK$5="N",$DK$5="AP",$DK$5="AT",$DK$5="SP"),INDEX(INDIRECT($DK$7),$B13,DQ$8)))</f>
        <v>0</v>
      </c>
      <c r="DS13" s="186"/>
      <c r="DT13" s="186"/>
      <c r="DU13" s="186"/>
      <c r="DV13" s="186" t="b">
        <f t="shared" ca="1" si="55"/>
        <v>0</v>
      </c>
      <c r="DW13" s="186"/>
      <c r="DX13" s="184" t="b">
        <f ca="1">IF(OR($DS$5="P",$DS$5="SS",$DS$5="S"),INDEX(INDIRECT($DS$6),$B13,DX$8),
IF(OR($DS$5="N",$DS$5="AP",$DS$5="AT",$DS$5="SP"),INDEX(INDIRECT($DS$7),$B13,DX$8)))</f>
        <v>0</v>
      </c>
      <c r="DY13" s="184" t="b">
        <f ca="1">IF(OR($DS$5="P",$DS$5="SS",$DS$5="S"),INDEX(INDIRECT($DS$6),$B13,DY$8),
IF(OR($DS$5="N",$DS$5="AP",$DS$5="AT",$DS$5="SP"),INDEX(INDIRECT($DS$7),$B13,DY$8)))</f>
        <v>0</v>
      </c>
      <c r="EA13" s="186"/>
      <c r="EB13" s="186"/>
      <c r="EC13" s="186"/>
      <c r="ED13" s="186" t="b">
        <f t="shared" ca="1" si="56"/>
        <v>0</v>
      </c>
      <c r="EE13" s="186"/>
      <c r="EF13" s="184" t="b">
        <f ca="1">IF(OR($EA$5="P",$EA$5="SS",$EA$5="S"),INDEX(INDIRECT($EA$6),$B13,EF$8),
IF(OR($EA$5="N",$EA$5="AP",$EA$5="AT",$EA$5="SP"),INDEX(INDIRECT($EA$7),$B13,EF$8)))</f>
        <v>0</v>
      </c>
      <c r="EG13" s="184" t="b">
        <f ca="1">IF(OR($EA$5="P",$EA$5="SS",$EA$5="S"),INDEX(INDIRECT($EA$6),$B13,EG$8),
IF(OR($EA$5="N",$EA$5="AP",$EA$5="AT",$EA$5="SP"),INDEX(INDIRECT($EA$7),$B13,EG$8)))</f>
        <v>0</v>
      </c>
      <c r="EI13" s="186"/>
      <c r="EJ13" s="186"/>
      <c r="EK13" s="186"/>
      <c r="EL13" s="186" t="b">
        <f t="shared" ca="1" si="57"/>
        <v>0</v>
      </c>
      <c r="EM13" s="186"/>
      <c r="EN13" s="184" t="b">
        <f ca="1">IF(OR($EI$5="P",$EI$5="SS",$EI$5="S"),INDEX(INDIRECT($EI$6),$B13,EN$8),
IF(OR($EI$5="N",$EI$5="AP",$EI$5="AT",$EI$5="SP"),INDEX(INDIRECT($EI$7),$B13,EN$8)))</f>
        <v>0</v>
      </c>
      <c r="EO13" s="184" t="b">
        <f ca="1">IF(OR($EI$5="P",$EI$5="SS",$EI$5="S"),INDEX(INDIRECT($EI$6),$B13,EO$8),
IF(OR($EI$5="N",$EI$5="AP",$EI$5="AT",$EI$5="SP"),INDEX(INDIRECT($EI$7),$B13,EO$8)))</f>
        <v>0</v>
      </c>
      <c r="EQ13" s="186"/>
      <c r="ER13" s="186"/>
      <c r="ES13" s="186"/>
      <c r="ET13" s="186" t="b">
        <f t="shared" ca="1" si="58"/>
        <v>0</v>
      </c>
      <c r="EU13" s="186"/>
      <c r="EV13" s="184" t="b">
        <f ca="1">IF(OR($EQ$5="P",$EQ$5="SS",$EQ$5="S"),INDEX(INDIRECT($EQ$6),$B13,EV$8),
IF(OR($EQ$5="N",$EQ$5="AP",$EQ$5="AT",$EQ$5="SP"),INDEX(INDIRECT($EQ$7),$B13,EV$8)))</f>
        <v>0</v>
      </c>
      <c r="EW13" s="184" t="b">
        <f ca="1">IF(OR($EQ$5="P",$EQ$5="SS",$EQ$5="S"),INDEX(INDIRECT($EQ$6),$B13,EW$8),
IF(OR($EQ$5="N",$EQ$5="AP",$EQ$5="AT",$EQ$5="SP"),INDEX(INDIRECT($EQ$7),$B13,EW$8)))</f>
        <v>0</v>
      </c>
      <c r="EY13" s="186"/>
      <c r="EZ13" s="186"/>
      <c r="FA13" s="186"/>
      <c r="FB13" s="186" t="b">
        <f t="shared" ca="1" si="59"/>
        <v>0</v>
      </c>
      <c r="FC13" s="186"/>
      <c r="FD13" s="184" t="b">
        <f ca="1">IF(OR($EY$5="P",$EY$5="SS",$EY$5="S"),INDEX(INDIRECT($EY$6),$B13,FD$8),
IF(OR($EY$5="N",$EY$5="AP",$EY$5="AT",$EY$5="SP"),INDEX(INDIRECT($EY$7),$B13,FD$8)))</f>
        <v>0</v>
      </c>
      <c r="FE13" s="184" t="b">
        <f ca="1">IF(OR($EY$5="P",$EY$5="SS",$EY$5="S"),INDEX(INDIRECT($EY$6),$B13,FE$8),
IF(OR($EY$5="N",$EY$5="AP",$EY$5="AT",$EY$5="SP"),INDEX(INDIRECT($EY$7),$B13,FE$8)))</f>
        <v>0</v>
      </c>
    </row>
    <row r="14" spans="1:161" x14ac:dyDescent="0.2">
      <c r="A14" s="183" t="s">
        <v>108</v>
      </c>
      <c r="B14" s="183">
        <v>6</v>
      </c>
      <c r="C14" s="186"/>
      <c r="D14" s="186"/>
      <c r="E14" s="186"/>
      <c r="F14" s="186">
        <f t="shared" ca="1" si="40"/>
        <v>0.05</v>
      </c>
      <c r="G14" s="186"/>
      <c r="H14" s="184">
        <f t="shared" ref="H14:I19" ca="1" si="60">IF(OR($C$5="P",$C$5="SS",$C$5="S"),INDEX(INDIRECT($C$6),$B14,H$8),
IF(OR($C$5="N",$C$5="AP",$C$5="AT",$C$5="SP"),INDEX(INDIRECT($C$7),$B14,H$8)))</f>
        <v>6.5000000000000002E-2</v>
      </c>
      <c r="I14" s="184">
        <f t="shared" ca="1" si="60"/>
        <v>8.5000000000000006E-2</v>
      </c>
      <c r="K14" s="186"/>
      <c r="L14" s="186"/>
      <c r="M14" s="186"/>
      <c r="N14" s="186" t="b">
        <f t="shared" ca="1" si="41"/>
        <v>0</v>
      </c>
      <c r="O14" s="186"/>
      <c r="P14" s="184" t="b">
        <f t="shared" ref="P14:Q19" ca="1" si="61">IF(OR($K$5="P",$K$5="SS",$K$5="S"),INDEX(INDIRECT($K$6),$B14,P$8),
IF(OR($K$5="N",$K$5="AP",$K$5="AT",$K$5="SP"),INDEX(INDIRECT($K$7),$B14,P$8)))</f>
        <v>0</v>
      </c>
      <c r="Q14" s="184" t="b">
        <f t="shared" ca="1" si="61"/>
        <v>0</v>
      </c>
      <c r="S14" s="186"/>
      <c r="T14" s="186"/>
      <c r="U14" s="186"/>
      <c r="V14" s="186" t="b">
        <f t="shared" ca="1" si="42"/>
        <v>0</v>
      </c>
      <c r="W14" s="186"/>
      <c r="X14" s="184" t="b">
        <f t="shared" ref="X14:Y19" ca="1" si="62">IF(OR($S$5="P",$S$5="SS",$S$5="S"),INDEX(INDIRECT($S$6),$B14,X$8),
IF(OR($S$5="N",$S$5="AP",$S$5="AT",$S$5="SP"),INDEX(INDIRECT($S$7),$B14,X$8)))</f>
        <v>0</v>
      </c>
      <c r="Y14" s="184" t="b">
        <f t="shared" ca="1" si="62"/>
        <v>0</v>
      </c>
      <c r="AA14" s="186"/>
      <c r="AB14" s="186"/>
      <c r="AC14" s="186"/>
      <c r="AD14" s="186" t="b">
        <f t="shared" ca="1" si="43"/>
        <v>0</v>
      </c>
      <c r="AE14" s="186"/>
      <c r="AF14" s="184" t="b">
        <f t="shared" ref="AF14:AG19" ca="1" si="63">IF(OR($AA$5="P",$AA$5="SS",$AA$5="S"),INDEX(INDIRECT($AA$6),$B14,AF$8),
IF(OR($AA$5="N",$AA$5="AP",$AA$5="AT",$AA$5="SP"),INDEX(INDIRECT($AA$7),$B14,AF$8)))</f>
        <v>0</v>
      </c>
      <c r="AG14" s="184" t="b">
        <f t="shared" ca="1" si="63"/>
        <v>0</v>
      </c>
      <c r="AI14" s="186"/>
      <c r="AJ14" s="186"/>
      <c r="AK14" s="186"/>
      <c r="AL14" s="186" t="b">
        <f t="shared" ca="1" si="44"/>
        <v>0</v>
      </c>
      <c r="AM14" s="186"/>
      <c r="AN14" s="184" t="b">
        <f t="shared" ref="AN14:AO19" ca="1" si="64">IF(OR($AI$5="P",$AI$5="SS",$AI$5="S"),INDEX(INDIRECT($AI$6),$B14,AN$8),
IF(OR($AI$5="N",$AI$5="AP",$AI$5="AT",$AI$5="SP"),INDEX(INDIRECT($AI$7),$B14,AN$8)))</f>
        <v>0</v>
      </c>
      <c r="AO14" s="184" t="b">
        <f t="shared" ca="1" si="64"/>
        <v>0</v>
      </c>
      <c r="AQ14" s="186"/>
      <c r="AR14" s="186"/>
      <c r="AS14" s="186"/>
      <c r="AT14" s="186" t="b">
        <f t="shared" ca="1" si="45"/>
        <v>0</v>
      </c>
      <c r="AU14" s="186"/>
      <c r="AV14" s="184" t="b">
        <f t="shared" ref="AV14:AW19" ca="1" si="65">IF(OR($AQ$5="P",$AQ$5="SS",$AQ$5="S"),INDEX(INDIRECT($AQ$6),$B14,AV$8),
IF(OR($AQ$5="N",$AQ$5="AP",$AQ$5="AT",$AQ$5="SP"),INDEX(INDIRECT($AQ$7),$B14,AV$8)))</f>
        <v>0</v>
      </c>
      <c r="AW14" s="184" t="b">
        <f t="shared" ca="1" si="65"/>
        <v>0</v>
      </c>
      <c r="AY14" s="186"/>
      <c r="AZ14" s="186"/>
      <c r="BA14" s="186"/>
      <c r="BB14" s="186" t="b">
        <f t="shared" ca="1" si="46"/>
        <v>0</v>
      </c>
      <c r="BC14" s="186"/>
      <c r="BD14" s="184" t="b">
        <f t="shared" ref="BD14:BE19" ca="1" si="66">IF(OR($AY$5="P",$AY$5="SS",$AY$5="S"),INDEX(INDIRECT($AY$6),$B14,BD$8),
IF(OR($AY$5="N",$AY$5="AP",$AY$5="AT",$AY$5="SP"),INDEX(INDIRECT($AY$7),$B14,BD$8)))</f>
        <v>0</v>
      </c>
      <c r="BE14" s="184" t="b">
        <f t="shared" ca="1" si="66"/>
        <v>0</v>
      </c>
      <c r="BG14" s="186"/>
      <c r="BH14" s="186"/>
      <c r="BI14" s="186"/>
      <c r="BJ14" s="186" t="b">
        <f t="shared" ca="1" si="47"/>
        <v>0</v>
      </c>
      <c r="BK14" s="186"/>
      <c r="BL14" s="184" t="b">
        <f t="shared" ref="BL14:BM19" ca="1" si="67">IF(OR($BG$5="P",$BG$5="SS",$BG$5="S"),INDEX(INDIRECT($BG$6),$B14,BL$8),
IF(OR($BG$5="N",$BG$5="AP",$BG$5="AT",$BG$5="SP"),INDEX(INDIRECT($BG$7),$B14,BL$8)))</f>
        <v>0</v>
      </c>
      <c r="BM14" s="184" t="b">
        <f t="shared" ca="1" si="67"/>
        <v>0</v>
      </c>
      <c r="BO14" s="186"/>
      <c r="BP14" s="186"/>
      <c r="BQ14" s="186"/>
      <c r="BR14" s="186" t="b">
        <f t="shared" ca="1" si="48"/>
        <v>0</v>
      </c>
      <c r="BS14" s="186"/>
      <c r="BT14" s="184" t="b">
        <f t="shared" ref="BT14:BU19" ca="1" si="68">IF(OR($BO$5="P",$BO$5="SS",$BO$5="S"),INDEX(INDIRECT($BO$6),$B14,BT$8),
IF(OR($BO$5="N",$BO$5="AP",$BO$5="AT",$BO$5="SP"),INDEX(INDIRECT($BO$7),$B14,BT$8)))</f>
        <v>0</v>
      </c>
      <c r="BU14" s="184" t="b">
        <f t="shared" ca="1" si="68"/>
        <v>0</v>
      </c>
      <c r="BV14" s="187"/>
      <c r="BW14" s="186"/>
      <c r="BX14" s="186"/>
      <c r="BY14" s="186"/>
      <c r="BZ14" s="186" t="b">
        <f t="shared" ca="1" si="49"/>
        <v>0</v>
      </c>
      <c r="CA14" s="186"/>
      <c r="CB14" s="184" t="b">
        <f t="shared" ref="CB14:CC19" ca="1" si="69">IF(OR($BW$5="P",$BW$5="SS",$BW$5="S"),INDEX(INDIRECT($BW$6),$B14,CB$8),
IF(OR($BW$5="N",$BW$5="AP",$BW$5="AT",$BW$5="SP"),INDEX(INDIRECT($BW$7),$B14,CB$8)))</f>
        <v>0</v>
      </c>
      <c r="CC14" s="184" t="b">
        <f t="shared" ca="1" si="69"/>
        <v>0</v>
      </c>
      <c r="CE14" s="186"/>
      <c r="CF14" s="186"/>
      <c r="CG14" s="186"/>
      <c r="CH14" s="186" t="b">
        <f t="shared" ca="1" si="50"/>
        <v>0</v>
      </c>
      <c r="CI14" s="186"/>
      <c r="CJ14" s="184" t="b">
        <f t="shared" ref="CJ14:CK19" ca="1" si="70">IF(OR($CE$5="P",$CE$5="SS",$CE$5="S"),INDEX(INDIRECT($CE$6),$B14,CJ$8),
IF(OR($CE$5="N",$CE$5="AP",$CE$5="AT",$CE$5="SP"),INDEX(INDIRECT($CE$7),$B14,CJ$8)))</f>
        <v>0</v>
      </c>
      <c r="CK14" s="184" t="b">
        <f t="shared" ca="1" si="70"/>
        <v>0</v>
      </c>
      <c r="CM14" s="186"/>
      <c r="CN14" s="186"/>
      <c r="CO14" s="186"/>
      <c r="CP14" s="186" t="b">
        <f t="shared" ca="1" si="51"/>
        <v>0</v>
      </c>
      <c r="CQ14" s="186"/>
      <c r="CR14" s="184" t="b">
        <f t="shared" ref="CR14:CS19" ca="1" si="71">IF(OR($CM$5="P",$CM$5="SS",$CM$5="S"),INDEX(INDIRECT($CM$6),$B14,CR$8),
IF(OR($CM$5="N",$CM$5="AP",$CM$5="AT",$CM$5="SP"),INDEX(INDIRECT($CM$7),$B14,CR$8)))</f>
        <v>0</v>
      </c>
      <c r="CS14" s="184" t="b">
        <f t="shared" ca="1" si="71"/>
        <v>0</v>
      </c>
      <c r="CU14" s="186"/>
      <c r="CV14" s="186"/>
      <c r="CW14" s="186"/>
      <c r="CX14" s="186" t="b">
        <f t="shared" ca="1" si="52"/>
        <v>0</v>
      </c>
      <c r="CY14" s="186"/>
      <c r="CZ14" s="184" t="b">
        <f t="shared" ref="CZ14:DA19" ca="1" si="72">IF(OR($CU$5="P",$CU$5="SS",$CU$5="S"),INDEX(INDIRECT($CU$6),$B14,CZ$8),
IF(OR($CU$5="N",$CU$5="AP",$CU$5="AT",$CU$5="SP"),INDEX(INDIRECT($CU$7),$B14,CZ$8)))</f>
        <v>0</v>
      </c>
      <c r="DA14" s="184" t="b">
        <f t="shared" ca="1" si="72"/>
        <v>0</v>
      </c>
      <c r="DC14" s="186"/>
      <c r="DD14" s="186"/>
      <c r="DE14" s="186"/>
      <c r="DF14" s="186" t="b">
        <f t="shared" ca="1" si="53"/>
        <v>0</v>
      </c>
      <c r="DG14" s="186"/>
      <c r="DH14" s="184" t="b">
        <f t="shared" ref="DH14:DI19" ca="1" si="73">IF(OR($DC$5="P",$DC$5="SS",$DC$5="S"),INDEX(INDIRECT($DC$6),$B14,DH$8),
IF(OR($DC$5="N",$DC$5="AP",$DC$5="AT",$DC$5="SP"),INDEX(INDIRECT($DC$7),$B14,DH$8)))</f>
        <v>0</v>
      </c>
      <c r="DI14" s="184" t="b">
        <f t="shared" ca="1" si="73"/>
        <v>0</v>
      </c>
      <c r="DK14" s="186"/>
      <c r="DL14" s="186"/>
      <c r="DM14" s="186"/>
      <c r="DN14" s="186" t="b">
        <f t="shared" ca="1" si="54"/>
        <v>0</v>
      </c>
      <c r="DO14" s="186"/>
      <c r="DP14" s="184" t="b">
        <f t="shared" ref="DP14:DQ19" ca="1" si="74">IF(OR($DK$5="P",$DK$5="SS",$DK$5="S"),INDEX(INDIRECT($DK$6),$B14,DP$8),
IF(OR($DK$5="N",$DK$5="AP",$DK$5="AT",$DK$5="SP"),INDEX(INDIRECT($DK$7),$B14,DP$8)))</f>
        <v>0</v>
      </c>
      <c r="DQ14" s="184" t="b">
        <f t="shared" ca="1" si="74"/>
        <v>0</v>
      </c>
      <c r="DS14" s="186"/>
      <c r="DT14" s="186"/>
      <c r="DU14" s="186"/>
      <c r="DV14" s="186" t="b">
        <f t="shared" ca="1" si="55"/>
        <v>0</v>
      </c>
      <c r="DW14" s="186"/>
      <c r="DX14" s="184" t="b">
        <f t="shared" ref="DX14:DY19" ca="1" si="75">IF(OR($DS$5="P",$DS$5="SS",$DS$5="S"),INDEX(INDIRECT($DS$6),$B14,DX$8),
IF(OR($DS$5="N",$DS$5="AP",$DS$5="AT",$DS$5="SP"),INDEX(INDIRECT($DS$7),$B14,DX$8)))</f>
        <v>0</v>
      </c>
      <c r="DY14" s="184" t="b">
        <f t="shared" ca="1" si="75"/>
        <v>0</v>
      </c>
      <c r="EA14" s="186"/>
      <c r="EB14" s="186"/>
      <c r="EC14" s="186"/>
      <c r="ED14" s="186" t="b">
        <f t="shared" ca="1" si="56"/>
        <v>0</v>
      </c>
      <c r="EE14" s="186"/>
      <c r="EF14" s="184" t="b">
        <f t="shared" ref="EF14:EG19" ca="1" si="76">IF(OR($EA$5="P",$EA$5="SS",$EA$5="S"),INDEX(INDIRECT($EA$6),$B14,EF$8),
IF(OR($EA$5="N",$EA$5="AP",$EA$5="AT",$EA$5="SP"),INDEX(INDIRECT($EA$7),$B14,EF$8)))</f>
        <v>0</v>
      </c>
      <c r="EG14" s="184" t="b">
        <f t="shared" ca="1" si="76"/>
        <v>0</v>
      </c>
      <c r="EI14" s="186"/>
      <c r="EJ14" s="186"/>
      <c r="EK14" s="186"/>
      <c r="EL14" s="186" t="b">
        <f t="shared" ca="1" si="57"/>
        <v>0</v>
      </c>
      <c r="EM14" s="186"/>
      <c r="EN14" s="184" t="b">
        <f t="shared" ref="EN14:EO19" ca="1" si="77">IF(OR($EI$5="P",$EI$5="SS",$EI$5="S"),INDEX(INDIRECT($EI$6),$B14,EN$8),
IF(OR($EI$5="N",$EI$5="AP",$EI$5="AT",$EI$5="SP"),INDEX(INDIRECT($EI$7),$B14,EN$8)))</f>
        <v>0</v>
      </c>
      <c r="EO14" s="184" t="b">
        <f t="shared" ca="1" si="77"/>
        <v>0</v>
      </c>
      <c r="EQ14" s="186"/>
      <c r="ER14" s="186"/>
      <c r="ES14" s="186"/>
      <c r="ET14" s="186" t="b">
        <f t="shared" ca="1" si="58"/>
        <v>0</v>
      </c>
      <c r="EU14" s="186"/>
      <c r="EV14" s="184" t="b">
        <f t="shared" ref="EV14:EW19" ca="1" si="78">IF(OR($EQ$5="P",$EQ$5="SS",$EQ$5="S"),INDEX(INDIRECT($EQ$6),$B14,EV$8),
IF(OR($EQ$5="N",$EQ$5="AP",$EQ$5="AT",$EQ$5="SP"),INDEX(INDIRECT($EQ$7),$B14,EV$8)))</f>
        <v>0</v>
      </c>
      <c r="EW14" s="184" t="b">
        <f t="shared" ca="1" si="78"/>
        <v>0</v>
      </c>
      <c r="EY14" s="186"/>
      <c r="EZ14" s="186"/>
      <c r="FA14" s="186"/>
      <c r="FB14" s="186" t="b">
        <f t="shared" ca="1" si="59"/>
        <v>0</v>
      </c>
      <c r="FC14" s="186"/>
      <c r="FD14" s="184" t="b">
        <f t="shared" ref="FD14:FE19" ca="1" si="79">IF(OR($EY$5="P",$EY$5="SS",$EY$5="S"),INDEX(INDIRECT($EY$6),$B14,FD$8),
IF(OR($EY$5="N",$EY$5="AP",$EY$5="AT",$EY$5="SP"),INDEX(INDIRECT($EY$7),$B14,FD$8)))</f>
        <v>0</v>
      </c>
      <c r="FE14" s="184" t="b">
        <f t="shared" ca="1" si="79"/>
        <v>0</v>
      </c>
    </row>
    <row r="15" spans="1:161" x14ac:dyDescent="0.2">
      <c r="A15" s="183" t="s">
        <v>109</v>
      </c>
      <c r="B15" s="183">
        <v>7</v>
      </c>
      <c r="C15" s="184">
        <f ca="1">IF(OR($C$5="P",$C$5="SS",$C$5="S"),INDEX(INDIRECT($C$6),$B15,C$8),
IF(OR($C$5="N",$C$5="AP",$C$5="AT",$C$5="SP"),INDEX(INDIRECT($C$7),$B15,C$8)))</f>
        <v>4.4999999999999998E-2</v>
      </c>
      <c r="D15" s="184">
        <f ca="1">IF(OR($C$5="P",$C$5="SS",$C$5="S"),INDEX(INDIRECT($C$6),$B15,D$8),
IF(OR($C$5="N",$C$5="AP",$C$5="AT",$C$5="SP"),INDEX(INDIRECT($C$7),$B15,D$8)))</f>
        <v>5.5E-2</v>
      </c>
      <c r="E15" s="185">
        <f ca="1">IF(OR($C$5="P",$C$5="SS",$C$5="S"),INDEX(INDIRECT($C$6),$B15,E$8),
IF(OR($C$5="N",$C$5="AP",$C$5="AT",$C$5="SP"),INDEX(INDIRECT($C$7),$B15,E$8)))</f>
        <v>6.5000000000000002E-2</v>
      </c>
      <c r="F15" s="186">
        <f ca="1">IF(OR($C$5="P",$C$5="SS",$C$5="S"),INDEX(INDIRECT($C$6),$B15,F$8),
IF(OR($C$5="N",$C$5="AP",$C$5="AT",$C$5="SP"),INDEX(INDIRECT($C$7),$B15,F$8)))</f>
        <v>7.0000000000000007E-2</v>
      </c>
      <c r="G15" s="185">
        <f ca="1">IF(OR($C$5="P",$C$5="SS",$C$5="S"),INDEX(INDIRECT($C$6),$B15,G$8),
IF(OR($C$5="N",$C$5="AP",$C$5="AT",$C$5="SP"),INDEX(INDIRECT($C$7),$B15,G$8)))</f>
        <v>7.4999999999999997E-2</v>
      </c>
      <c r="H15" s="186"/>
      <c r="I15" s="186"/>
      <c r="K15" s="184" t="b">
        <f ca="1">IF(OR($K$5="P",$K$5="SS",$K$5="S"),INDEX(INDIRECT($K$6),$B15,K$8),
IF(OR($K$5="N",$K$5="AP",$K$5="AT",$K$5="SP"),INDEX(INDIRECT($K$7),$B15,K$8)))</f>
        <v>0</v>
      </c>
      <c r="L15" s="184" t="b">
        <f ca="1">IF(OR($K$5="P",$K$5="SS",$K$5="S"),INDEX(INDIRECT($K$6),$B15,L$8),
IF(OR($K$5="N",$K$5="AP",$K$5="AT",$K$5="SP"),INDEX(INDIRECT($K$7),$B15,L$8)))</f>
        <v>0</v>
      </c>
      <c r="M15" s="185" t="b">
        <f ca="1">IF(OR($K$5="P",$K$5="SS",$K$5="S"),INDEX(INDIRECT($K$6),$B15,M$8),
IF(OR($K$5="N",$K$5="AP",$K$5="AT",$K$5="SP"),INDEX(INDIRECT($K$7),$B15,M$8)))</f>
        <v>0</v>
      </c>
      <c r="N15" s="186" t="b">
        <f ca="1">IF(OR($K$5="P",$K$5="SS",$K$5="S"),INDEX(INDIRECT($K$6),$B15,N$8),
IF(OR($K$5="N",$K$5="AP",$K$5="AT",$K$5="SP"),INDEX(INDIRECT($K$7),$B15,N$8)))</f>
        <v>0</v>
      </c>
      <c r="O15" s="185" t="b">
        <f ca="1">IF(OR($K$5="P",$K$5="SS",$K$5="S"),INDEX(INDIRECT($K$6),$B15,O$8),
IF(OR($K$5="N",$K$5="AP",$K$5="AT",$K$5="SP"),INDEX(INDIRECT($K$7),$B15,O$8)))</f>
        <v>0</v>
      </c>
      <c r="P15" s="186"/>
      <c r="Q15" s="186"/>
      <c r="S15" s="184" t="b">
        <f ca="1">IF(OR($S$5="P",$S$5="SS",$S$5="S"),INDEX(INDIRECT($S$6),$B15,S$8),
IF(OR($S$5="N",$S$5="AP",$S$5="AT",$S$5="SP"),INDEX(INDIRECT($S$7),$B15,S$8)))</f>
        <v>0</v>
      </c>
      <c r="T15" s="184" t="b">
        <f ca="1">IF(OR($S$5="P",$S$5="SS",$S$5="S"),INDEX(INDIRECT($S$6),$B15,T$8),
IF(OR($S$5="N",$S$5="AP",$S$5="AT",$S$5="SP"),INDEX(INDIRECT($S$7),$B15,T$8)))</f>
        <v>0</v>
      </c>
      <c r="U15" s="185" t="b">
        <f ca="1">IF(OR($S$5="P",$S$5="SS",$S$5="S"),INDEX(INDIRECT($S$6),$B15,U$8),
IF(OR($S$5="N",$S$5="AP",$S$5="AT",$S$5="SP"),INDEX(INDIRECT($S$7),$B15,U$8)))</f>
        <v>0</v>
      </c>
      <c r="V15" s="186" t="b">
        <f ca="1">IF(OR($S$5="P",$S$5="SS",$S$5="S"),INDEX(INDIRECT($S$6),$B15,V$8),
IF(OR($S$5="N",$S$5="AP",$S$5="AT",$S$5="SP"),INDEX(INDIRECT($S$7),$B15,V$8)))</f>
        <v>0</v>
      </c>
      <c r="W15" s="185" t="b">
        <f ca="1">IF(OR($S$5="P",$S$5="SS",$S$5="S"),INDEX(INDIRECT($S$6),$B15,W$8),
IF(OR($S$5="N",$S$5="AP",$S$5="AT",$S$5="SP"),INDEX(INDIRECT($S$7),$B15,W$8)))</f>
        <v>0</v>
      </c>
      <c r="X15" s="186"/>
      <c r="Y15" s="186"/>
      <c r="AA15" s="184" t="b">
        <f ca="1">IF(OR($AA$5="P",$AA$5="SS",$AA$5="S"),INDEX(INDIRECT($AA$6),$B15,AA$8),
IF(OR($AA$5="N",$AA$5="AP",$AA$5="AT",$AA$5="SP"),INDEX(INDIRECT($AA$7),$B15,AA$8)))</f>
        <v>0</v>
      </c>
      <c r="AB15" s="184" t="b">
        <f ca="1">IF(OR($AA$5="P",$AA$5="SS",$AA$5="S"),INDEX(INDIRECT($AA$6),$B15,AB$8),
IF(OR($AA$5="N",$AA$5="AP",$AA$5="AT",$AA$5="SP"),INDEX(INDIRECT($AA$7),$B15,AB$8)))</f>
        <v>0</v>
      </c>
      <c r="AC15" s="185" t="b">
        <f ca="1">IF(OR($AA$5="P",$AA$5="SS",$AA$5="S"),INDEX(INDIRECT($AA$6),$B15,AC$8),
IF(OR($AA$5="N",$AA$5="AP",$AA$5="AT",$AA$5="SP"),INDEX(INDIRECT($AA$7),$B15,AC$8)))</f>
        <v>0</v>
      </c>
      <c r="AD15" s="186" t="b">
        <f ca="1">IF(OR($AA$5="P",$AA$5="SS",$AA$5="S"),INDEX(INDIRECT($AA$6),$B15,AD$8),
IF(OR($AA$5="N",$AA$5="AP",$AA$5="AT",$AA$5="SP"),INDEX(INDIRECT($AA$7),$B15,AD$8)))</f>
        <v>0</v>
      </c>
      <c r="AE15" s="185" t="b">
        <f ca="1">IF(OR($AA$5="P",$AA$5="SS",$AA$5="S"),INDEX(INDIRECT($AA$6),$B15,AE$8),
IF(OR($AA$5="N",$AA$5="AP",$AA$5="AT",$AA$5="SP"),INDEX(INDIRECT($AA$7),$B15,AE$8)))</f>
        <v>0</v>
      </c>
      <c r="AF15" s="186"/>
      <c r="AG15" s="186"/>
      <c r="AI15" s="184" t="b">
        <f ca="1">IF(OR($AI$5="P",$AI$5="SS",$AI$5="S"),INDEX(INDIRECT($AI$6),$B15,AI$8),
IF(OR($AI$5="N",$AI$5="AP",$AI$5="AT",$AI$5="SP"),INDEX(INDIRECT($AI$7),$B15,AI$8)))</f>
        <v>0</v>
      </c>
      <c r="AJ15" s="184" t="b">
        <f ca="1">IF(OR($AI$5="P",$AI$5="SS",$AI$5="S"),INDEX(INDIRECT($AI$6),$B15,AJ$8),
IF(OR($AI$5="N",$AI$5="AP",$AI$5="AT",$AI$5="SP"),INDEX(INDIRECT($AI$7),$B15,AJ$8)))</f>
        <v>0</v>
      </c>
      <c r="AK15" s="185" t="b">
        <f ca="1">IF(OR($AI$5="P",$AI$5="SS",$AI$5="S"),INDEX(INDIRECT($AI$6),$B15,AK$8),
IF(OR($AI$5="N",$AI$5="AP",$AI$5="AT",$AI$5="SP"),INDEX(INDIRECT($AI$7),$B15,AK$8)))</f>
        <v>0</v>
      </c>
      <c r="AL15" s="186" t="b">
        <f ca="1">IF(OR($AI$5="P",$AI$5="SS",$AI$5="S"),INDEX(INDIRECT($AI$6),$B15,AL$8),
IF(OR($AI$5="N",$AI$5="AP",$AI$5="AT",$AI$5="SP"),INDEX(INDIRECT($AI$7),$B15,AL$8)))</f>
        <v>0</v>
      </c>
      <c r="AM15" s="185" t="b">
        <f ca="1">IF(OR($AI$5="P",$AI$5="SS",$AI$5="S"),INDEX(INDIRECT($AI$6),$B15,AM$8),
IF(OR($AI$5="N",$AI$5="AP",$AI$5="AT",$AI$5="SP"),INDEX(INDIRECT($AI$7),$B15,AM$8)))</f>
        <v>0</v>
      </c>
      <c r="AN15" s="186"/>
      <c r="AO15" s="186"/>
      <c r="AQ15" s="184" t="b">
        <f ca="1">IF(OR($AQ$5="P",$AQ$5="SS",$AQ$5="S"),INDEX(INDIRECT($AQ$6),$B15,AQ$8),
IF(OR($AQ$5="N",$AQ$5="AP",$AQ$5="AT",$AQ$5="SP"),INDEX(INDIRECT($AQ$7),$B15,AQ$8)))</f>
        <v>0</v>
      </c>
      <c r="AR15" s="184" t="b">
        <f ca="1">IF(OR($AQ$5="P",$AQ$5="SS",$AQ$5="S"),INDEX(INDIRECT($AQ$6),$B15,AR$8),
IF(OR($AQ$5="N",$AQ$5="AP",$AQ$5="AT",$AQ$5="SP"),INDEX(INDIRECT($AQ$7),$B15,AR$8)))</f>
        <v>0</v>
      </c>
      <c r="AS15" s="185" t="b">
        <f ca="1">IF(OR($AQ$5="P",$AQ$5="SS",$AQ$5="S"),INDEX(INDIRECT($AQ$6),$B15,AS$8),
IF(OR($AQ$5="N",$AQ$5="AP",$AQ$5="AT",$AQ$5="SP"),INDEX(INDIRECT($AQ$7),$B15,AS$8)))</f>
        <v>0</v>
      </c>
      <c r="AT15" s="186" t="b">
        <f ca="1">IF(OR($AQ$5="P",$AQ$5="SS",$AQ$5="S"),INDEX(INDIRECT($AQ$6),$B15,AT$8),
IF(OR($AQ$5="N",$AQ$5="AP",$AQ$5="AT",$AQ$5="SP"),INDEX(INDIRECT($AQ$7),$B15,AT$8)))</f>
        <v>0</v>
      </c>
      <c r="AU15" s="185" t="b">
        <f ca="1">IF(OR($AQ$5="P",$AQ$5="SS",$AQ$5="S"),INDEX(INDIRECT($AQ$6),$B15,AU$8),
IF(OR($AQ$5="N",$AQ$5="AP",$AQ$5="AT",$AQ$5="SP"),INDEX(INDIRECT($AQ$7),$B15,AU$8)))</f>
        <v>0</v>
      </c>
      <c r="AV15" s="186"/>
      <c r="AW15" s="186"/>
      <c r="AY15" s="184" t="b">
        <f ca="1">IF(OR($AY$5="P",$AY$5="SS",$AY$5="S"),INDEX(INDIRECT($AY$6),$B15,AY$8),
IF(OR($AY$5="N",$AY$5="AP",$AY$5="AT",$AY$5="SP"),INDEX(INDIRECT($AY$7),$B15,AY$8)))</f>
        <v>0</v>
      </c>
      <c r="AZ15" s="184" t="b">
        <f ca="1">IF(OR($AY$5="P",$AY$5="SS",$AY$5="S"),INDEX(INDIRECT($AY$6),$B15,AZ$8),
IF(OR($AY$5="N",$AY$5="AP",$AY$5="AT",$AY$5="SP"),INDEX(INDIRECT($AY$7),$B15,AZ$8)))</f>
        <v>0</v>
      </c>
      <c r="BA15" s="185" t="b">
        <f ca="1">IF(OR($AY$5="P",$AY$5="SS",$AY$5="S"),INDEX(INDIRECT($AY$6),$B15,BA$8),
IF(OR($AY$5="N",$AY$5="AP",$AY$5="AT",$AY$5="SP"),INDEX(INDIRECT($AY$7),$B15,BA$8)))</f>
        <v>0</v>
      </c>
      <c r="BB15" s="186" t="b">
        <f ca="1">IF(OR($AY$5="P",$AY$5="SS",$AY$5="S"),INDEX(INDIRECT($AY$6),$B15,BB$8),
IF(OR($AY$5="N",$AY$5="AP",$AY$5="AT",$AY$5="SP"),INDEX(INDIRECT($AY$7),$B15,BB$8)))</f>
        <v>0</v>
      </c>
      <c r="BC15" s="185" t="b">
        <f ca="1">IF(OR($AY$5="P",$AY$5="SS",$AY$5="S"),INDEX(INDIRECT($AY$6),$B15,BC$8),
IF(OR($AY$5="N",$AY$5="AP",$AY$5="AT",$AY$5="SP"),INDEX(INDIRECT($AY$7),$B15,BC$8)))</f>
        <v>0</v>
      </c>
      <c r="BD15" s="186"/>
      <c r="BE15" s="186"/>
      <c r="BG15" s="184" t="b">
        <f ca="1">IF(OR($BG$5="P",$BG$5="SS",$BG$5="S"),INDEX(INDIRECT($BG$6),$B15,BG$8),
IF(OR($BG$5="N",$BG$5="AP",$BG$5="AT",$BG$5="SP"),INDEX(INDIRECT($BG$7),$B15,BG$8)))</f>
        <v>0</v>
      </c>
      <c r="BH15" s="184" t="b">
        <f ca="1">IF(OR($BG$5="P",$BG$5="SS",$BG$5="S"),INDEX(INDIRECT($BG$6),$B15,BH$8),
IF(OR($BG$5="N",$BG$5="AP",$BG$5="AT",$BG$5="SP"),INDEX(INDIRECT($BG$7),$B15,BH$8)))</f>
        <v>0</v>
      </c>
      <c r="BI15" s="185" t="b">
        <f ca="1">IF(OR($BG$5="P",$BG$5="SS",$BG$5="S"),INDEX(INDIRECT($BG$6),$B15,BI$8),
IF(OR($BG$5="N",$BG$5="AP",$BG$5="AT",$BG$5="SP"),INDEX(INDIRECT($BG$7),$B15,BI$8)))</f>
        <v>0</v>
      </c>
      <c r="BJ15" s="186" t="b">
        <f ca="1">IF(OR($BG$5="P",$BG$5="SS",$BG$5="S"),INDEX(INDIRECT($BG$6),$B15,BJ$8),
IF(OR($BG$5="N",$BG$5="AP",$BG$5="AT",$BG$5="SP"),INDEX(INDIRECT($BG$7),$B15,BJ$8)))</f>
        <v>0</v>
      </c>
      <c r="BK15" s="185" t="b">
        <f ca="1">IF(OR($BG$5="P",$BG$5="SS",$BG$5="S"),INDEX(INDIRECT($BG$6),$B15,BK$8),
IF(OR($BG$5="N",$BG$5="AP",$BG$5="AT",$BG$5="SP"),INDEX(INDIRECT($BG$7),$B15,BK$8)))</f>
        <v>0</v>
      </c>
      <c r="BL15" s="186"/>
      <c r="BM15" s="186"/>
      <c r="BO15" s="184" t="b">
        <f ca="1">IF(OR($BO$5="P",$BO$5="SS",$BO$5="S"),INDEX(INDIRECT($BO$6),$B15,BO$8),
IF(OR($BO$5="N",$BO$5="AP",$BO$5="AT",$BO$5="SP"),INDEX(INDIRECT($BO$7),$B15,BO$8)))</f>
        <v>0</v>
      </c>
      <c r="BP15" s="184" t="b">
        <f ca="1">IF(OR($BO$5="P",$BO$5="SS",$BO$5="S"),INDEX(INDIRECT($BO$6),$B15,BP$8),
IF(OR($BO$5="N",$BO$5="AP",$BO$5="AT",$BO$5="SP"),INDEX(INDIRECT($BO$7),$B15,BP$8)))</f>
        <v>0</v>
      </c>
      <c r="BQ15" s="185" t="b">
        <f ca="1">IF(OR($BO$5="P",$BO$5="SS",$BO$5="S"),INDEX(INDIRECT($BO$6),$B15,BQ$8),
IF(OR($BO$5="N",$BO$5="AP",$BO$5="AT",$BO$5="SP"),INDEX(INDIRECT($BO$7),$B15,BQ$8)))</f>
        <v>0</v>
      </c>
      <c r="BR15" s="186" t="b">
        <f ca="1">IF(OR($BO$5="P",$BO$5="SS",$BO$5="S"),INDEX(INDIRECT($BO$6),$B15,BR$8),
IF(OR($BO$5="N",$BO$5="AP",$BO$5="AT",$BO$5="SP"),INDEX(INDIRECT($BO$7),$B15,BR$8)))</f>
        <v>0</v>
      </c>
      <c r="BS15" s="185" t="b">
        <f ca="1">IF(OR($BO$5="P",$BO$5="SS",$BO$5="S"),INDEX(INDIRECT($BO$6),$B15,BS$8),
IF(OR($BO$5="N",$BO$5="AP",$BO$5="AT",$BO$5="SP"),INDEX(INDIRECT($BO$7),$B15,BS$8)))</f>
        <v>0</v>
      </c>
      <c r="BT15" s="186"/>
      <c r="BU15" s="186"/>
      <c r="BV15" s="188"/>
      <c r="BW15" s="184" t="b">
        <f ca="1">IF(OR($BW$5="P",$BW$5="SS",$BW$5="S"),INDEX(INDIRECT($BW$6),$B15,BW$8),
IF(OR($BW$5="N",$BW$5="AP",$BW$5="AT",$BW$5="SP"),INDEX(INDIRECT($BW$7),$B15,BW$8)))</f>
        <v>0</v>
      </c>
      <c r="BX15" s="184" t="b">
        <f ca="1">IF(OR($BW$5="P",$BW$5="SS",$BW$5="S"),INDEX(INDIRECT($BW$6),$B15,BX$8),
IF(OR($BW$5="N",$BW$5="AP",$BW$5="AT",$BW$5="SP"),INDEX(INDIRECT($BW$7),$B15,BX$8)))</f>
        <v>0</v>
      </c>
      <c r="BY15" s="185" t="b">
        <f ca="1">IF(OR($BW$5="P",$BW$5="SS",$BW$5="S"),INDEX(INDIRECT($BW$6),$B15,BY$8),
IF(OR($BW$5="N",$BW$5="AP",$BW$5="AT",$BW$5="SP"),INDEX(INDIRECT($BW$7),$B15,BY$8)))</f>
        <v>0</v>
      </c>
      <c r="BZ15" s="186" t="b">
        <f ca="1">IF(OR($BW$5="P",$BW$5="SS",$BW$5="S"),INDEX(INDIRECT($BW$6),$B15,BZ$8),
IF(OR($BW$5="N",$BW$5="AP",$BW$5="AT",$BW$5="SP"),INDEX(INDIRECT($BW$7),$B15,BZ$8)))</f>
        <v>0</v>
      </c>
      <c r="CA15" s="185" t="b">
        <f ca="1">IF(OR($BW$5="P",$BW$5="SS",$BW$5="S"),INDEX(INDIRECT($BW$6),$B15,CA$8),
IF(OR($BW$5="N",$BW$5="AP",$BW$5="AT",$BW$5="SP"),INDEX(INDIRECT($BW$7),$B15,CA$8)))</f>
        <v>0</v>
      </c>
      <c r="CB15" s="186"/>
      <c r="CC15" s="186"/>
      <c r="CE15" s="184" t="b">
        <f ca="1">IF(OR($CE$5="P",$CE$5="SS",$CE$5="S"),INDEX(INDIRECT($CE$6),$B15,CE$8),
IF(OR($CE$5="N",$CE$5="AP",$CE$5="AT",$CE$5="SP"),INDEX(INDIRECT($CE$7),$B15,CE$8)))</f>
        <v>0</v>
      </c>
      <c r="CF15" s="184" t="b">
        <f ca="1">IF(OR($CE$5="P",$CE$5="SS",$CE$5="S"),INDEX(INDIRECT($CE$6),$B15,CF$8),
IF(OR($CE$5="N",$CE$5="AP",$CE$5="AT",$CE$5="SP"),INDEX(INDIRECT($CE$7),$B15,CF$8)))</f>
        <v>0</v>
      </c>
      <c r="CG15" s="185" t="b">
        <f ca="1">IF(OR($CE$5="P",$CE$5="SS",$CE$5="S"),INDEX(INDIRECT($CE$6),$B15,CG$8),
IF(OR($CE$5="N",$CE$5="AP",$CE$5="AT",$CE$5="SP"),INDEX(INDIRECT($CE$7),$B15,CG$8)))</f>
        <v>0</v>
      </c>
      <c r="CH15" s="186" t="b">
        <f ca="1">IF(OR($CE$5="P",$CE$5="SS",$CE$5="S"),INDEX(INDIRECT($CE$6),$B15,CH$8),
IF(OR($CE$5="N",$CE$5="AP",$CE$5="AT",$CE$5="SP"),INDEX(INDIRECT($CE$7),$B15,CH$8)))</f>
        <v>0</v>
      </c>
      <c r="CI15" s="185" t="b">
        <f ca="1">IF(OR($CE$5="P",$CE$5="SS",$CE$5="S"),INDEX(INDIRECT($CE$6),$B15,CI$8),
IF(OR($CE$5="N",$CE$5="AP",$CE$5="AT",$CE$5="SP"),INDEX(INDIRECT($CE$7),$B15,CI$8)))</f>
        <v>0</v>
      </c>
      <c r="CJ15" s="186"/>
      <c r="CK15" s="186"/>
      <c r="CM15" s="184" t="b">
        <f ca="1">IF(OR($CM$5="P",$CM$5="SS",$CM$5="S"),INDEX(INDIRECT($CM$6),$B15,CM$8),
IF(OR($CM$5="N",$CM$5="AP",$CM$5="AT",$CM$5="SP"),INDEX(INDIRECT($CM$7),$B15,CM$8)))</f>
        <v>0</v>
      </c>
      <c r="CN15" s="184" t="b">
        <f ca="1">IF(OR($CM$5="P",$CM$5="SS",$CM$5="S"),INDEX(INDIRECT($CM$6),$B15,CN$8),
IF(OR($CM$5="N",$CM$5="AP",$CM$5="AT",$CM$5="SP"),INDEX(INDIRECT($CM$7),$B15,CN$8)))</f>
        <v>0</v>
      </c>
      <c r="CO15" s="185" t="b">
        <f ca="1">IF(OR($CM$5="P",$CM$5="SS",$CM$5="S"),INDEX(INDIRECT($CM$6),$B15,CO$8),
IF(OR($CM$5="N",$CM$5="AP",$CM$5="AT",$CM$5="SP"),INDEX(INDIRECT($CM$7),$B15,CO$8)))</f>
        <v>0</v>
      </c>
      <c r="CP15" s="186" t="b">
        <f ca="1">IF(OR($CM$5="P",$CM$5="SS",$CM$5="S"),INDEX(INDIRECT($CM$6),$B15,CP$8),
IF(OR($CM$5="N",$CM$5="AP",$CM$5="AT",$CM$5="SP"),INDEX(INDIRECT($CM$7),$B15,CP$8)))</f>
        <v>0</v>
      </c>
      <c r="CQ15" s="185" t="b">
        <f ca="1">IF(OR($CM$5="P",$CM$5="SS",$CM$5="S"),INDEX(INDIRECT($CM$6),$B15,CQ$8),
IF(OR($CM$5="N",$CM$5="AP",$CM$5="AT",$CM$5="SP"),INDEX(INDIRECT($CM$7),$B15,CQ$8)))</f>
        <v>0</v>
      </c>
      <c r="CR15" s="186"/>
      <c r="CS15" s="186"/>
      <c r="CU15" s="184" t="b">
        <f ca="1">IF(OR($CU$5="P",$CU$5="SS",$CU$5="S"),INDEX(INDIRECT($CU$6),$B15,CU$8),
IF(OR($CU$5="N",$CU$5="AP",$CU$5="AT",$CU$5="SP"),INDEX(INDIRECT($CU$7),$B15,CU$8)))</f>
        <v>0</v>
      </c>
      <c r="CV15" s="184" t="b">
        <f ca="1">IF(OR($CU$5="P",$CU$5="SS",$CU$5="S"),INDEX(INDIRECT($CU$6),$B15,CV$8),
IF(OR($CU$5="N",$CU$5="AP",$CU$5="AT",$CU$5="SP"),INDEX(INDIRECT($CU$7),$B15,CV$8)))</f>
        <v>0</v>
      </c>
      <c r="CW15" s="185" t="b">
        <f ca="1">IF(OR($CU$5="P",$CU$5="SS",$CU$5="S"),INDEX(INDIRECT($CU$6),$B15,CW$8),
IF(OR($CU$5="N",$CU$5="AP",$CU$5="AT",$CU$5="SP"),INDEX(INDIRECT($CU$7),$B15,CW$8)))</f>
        <v>0</v>
      </c>
      <c r="CX15" s="186" t="b">
        <f ca="1">IF(OR($CU$5="P",$CU$5="SS",$CU$5="S"),INDEX(INDIRECT($CU$6),$B15,CX$8),
IF(OR($CU$5="N",$CU$5="AP",$CU$5="AT",$CU$5="SP"),INDEX(INDIRECT($CU$7),$B15,CX$8)))</f>
        <v>0</v>
      </c>
      <c r="CY15" s="185" t="b">
        <f ca="1">IF(OR($CU$5="P",$CU$5="SS",$CU$5="S"),INDEX(INDIRECT($CU$6),$B15,CY$8),
IF(OR($CU$5="N",$CU$5="AP",$CU$5="AT",$CU$5="SP"),INDEX(INDIRECT($CU$7),$B15,CY$8)))</f>
        <v>0</v>
      </c>
      <c r="CZ15" s="186"/>
      <c r="DA15" s="186"/>
      <c r="DC15" s="184" t="b">
        <f ca="1">IF(OR($DC$5="P",$DC$5="SS",$DC$5="S"),INDEX(INDIRECT($DC$6),$B15,DC$8),
IF(OR($DC$5="N",$DC$5="AP",$DC$5="AT",$DC$5="SP"),INDEX(INDIRECT($DC$7),$B15,DC$8)))</f>
        <v>0</v>
      </c>
      <c r="DD15" s="184" t="b">
        <f ca="1">IF(OR($DC$5="P",$DC$5="SS",$DC$5="S"),INDEX(INDIRECT($DC$6),$B15,DD$8),
IF(OR($DC$5="N",$DC$5="AP",$DC$5="AT",$DC$5="SP"),INDEX(INDIRECT($DC$7),$B15,DD$8)))</f>
        <v>0</v>
      </c>
      <c r="DE15" s="185" t="b">
        <f ca="1">IF(OR($DC$5="P",$DC$5="SS",$DC$5="S"),INDEX(INDIRECT($DC$6),$B15,DE$8),
IF(OR($DC$5="N",$DC$5="AP",$DC$5="AT",$DC$5="SP"),INDEX(INDIRECT($DC$7),$B15,DE$8)))</f>
        <v>0</v>
      </c>
      <c r="DF15" s="186" t="b">
        <f ca="1">IF(OR($DC$5="P",$DC$5="SS",$DC$5="S"),INDEX(INDIRECT($DC$6),$B15,DF$8),
IF(OR($DC$5="N",$DC$5="AP",$DC$5="AT",$DC$5="SP"),INDEX(INDIRECT($DC$7),$B15,DF$8)))</f>
        <v>0</v>
      </c>
      <c r="DG15" s="185" t="b">
        <f ca="1">IF(OR($DC$5="P",$DC$5="SS",$DC$5="S"),INDEX(INDIRECT($DC$6),$B15,DG$8),
IF(OR($DC$5="N",$DC$5="AP",$DC$5="AT",$DC$5="SP"),INDEX(INDIRECT($DC$7),$B15,DG$8)))</f>
        <v>0</v>
      </c>
      <c r="DH15" s="186"/>
      <c r="DI15" s="186"/>
      <c r="DK15" s="184" t="b">
        <f ca="1">IF(OR($DK$5="P",$DK$5="SS",$DK$5="S"),INDEX(INDIRECT($DK$6),$B15,DK$8),
IF(OR($DK$5="N",$DK$5="AP",$DK$5="AT",$DK$5="SP"),INDEX(INDIRECT($DK$7),$B15,DK$8)))</f>
        <v>0</v>
      </c>
      <c r="DL15" s="184" t="b">
        <f ca="1">IF(OR($DK$5="P",$DK$5="SS",$DK$5="S"),INDEX(INDIRECT($DK$6),$B15,DL$8),
IF(OR($DK$5="N",$DK$5="AP",$DK$5="AT",$DK$5="SP"),INDEX(INDIRECT($DK$7),$B15,DL$8)))</f>
        <v>0</v>
      </c>
      <c r="DM15" s="185" t="b">
        <f ca="1">IF(OR($DK$5="P",$DK$5="SS",$DK$5="S"),INDEX(INDIRECT($DK$6),$B15,DM$8),
IF(OR($DK$5="N",$DK$5="AP",$DK$5="AT",$DK$5="SP"),INDEX(INDIRECT($DK$7),$B15,DM$8)))</f>
        <v>0</v>
      </c>
      <c r="DN15" s="186" t="b">
        <f ca="1">IF(OR($DK$5="P",$DK$5="SS",$DK$5="S"),INDEX(INDIRECT($DK$6),$B15,DN$8),
IF(OR($DK$5="N",$DK$5="AP",$DK$5="AT",$DK$5="SP"),INDEX(INDIRECT($DK$7),$B15,DN$8)))</f>
        <v>0</v>
      </c>
      <c r="DO15" s="185" t="b">
        <f ca="1">IF(OR($DK$5="P",$DK$5="SS",$DK$5="S"),INDEX(INDIRECT($DK$6),$B15,DO$8),
IF(OR($DK$5="N",$DK$5="AP",$DK$5="AT",$DK$5="SP"),INDEX(INDIRECT($DK$7),$B15,DO$8)))</f>
        <v>0</v>
      </c>
      <c r="DP15" s="186"/>
      <c r="DQ15" s="186"/>
      <c r="DS15" s="184" t="b">
        <f ca="1">IF(OR($DS$5="P",$DS$5="SS",$DS$5="S"),INDEX(INDIRECT($DS$6),$B15,DS$8),
IF(OR($DS$5="N",$DS$5="AP",$DS$5="AT",$DS$5="SP"),INDEX(INDIRECT($DS$7),$B15,DS$8)))</f>
        <v>0</v>
      </c>
      <c r="DT15" s="184" t="b">
        <f ca="1">IF(OR($DS$5="P",$DS$5="SS",$DS$5="S"),INDEX(INDIRECT($DS$6),$B15,DT$8),
IF(OR($DS$5="N",$DS$5="AP",$DS$5="AT",$DS$5="SP"),INDEX(INDIRECT($DS$7),$B15,DT$8)))</f>
        <v>0</v>
      </c>
      <c r="DU15" s="185" t="b">
        <f ca="1">IF(OR($DS$5="P",$DS$5="SS",$DS$5="S"),INDEX(INDIRECT($DS$6),$B15,DU$8),
IF(OR($DS$5="N",$DS$5="AP",$DS$5="AT",$DS$5="SP"),INDEX(INDIRECT($DS$7),$B15,DU$8)))</f>
        <v>0</v>
      </c>
      <c r="DV15" s="186" t="b">
        <f ca="1">IF(OR($DS$5="P",$DS$5="SS",$DS$5="S"),INDEX(INDIRECT($DS$6),$B15,DV$8),
IF(OR($DS$5="N",$DS$5="AP",$DS$5="AT",$DS$5="SP"),INDEX(INDIRECT($DS$7),$B15,DV$8)))</f>
        <v>0</v>
      </c>
      <c r="DW15" s="185" t="b">
        <f ca="1">IF(OR($DS$5="P",$DS$5="SS",$DS$5="S"),INDEX(INDIRECT($DS$6),$B15,DW$8),
IF(OR($DS$5="N",$DS$5="AP",$DS$5="AT",$DS$5="SP"),INDEX(INDIRECT($DS$7),$B15,DW$8)))</f>
        <v>0</v>
      </c>
      <c r="DX15" s="186"/>
      <c r="DY15" s="186"/>
      <c r="EA15" s="184" t="b">
        <f ca="1">IF(OR($EA$5="P",$EA$5="SS",$EA$5="S"),INDEX(INDIRECT($EA$6),$B15,EA$8),
IF(OR($EA$5="N",$EA$5="AP",$EA$5="AT",$EA$5="SP"),INDEX(INDIRECT($EA$7),$B15,EA$8)))</f>
        <v>0</v>
      </c>
      <c r="EB15" s="184" t="b">
        <f ca="1">IF(OR($EA$5="P",$EA$5="SS",$EA$5="S"),INDEX(INDIRECT($EA$6),$B15,EB$8),
IF(OR($EA$5="N",$EA$5="AP",$EA$5="AT",$EA$5="SP"),INDEX(INDIRECT($EA$7),$B15,EB$8)))</f>
        <v>0</v>
      </c>
      <c r="EC15" s="185" t="b">
        <f ca="1">IF(OR($EA$5="P",$EA$5="SS",$EA$5="S"),INDEX(INDIRECT($EA$6),$B15,EC$8),
IF(OR($EA$5="N",$EA$5="AP",$EA$5="AT",$EA$5="SP"),INDEX(INDIRECT($EA$7),$B15,EC$8)))</f>
        <v>0</v>
      </c>
      <c r="ED15" s="186" t="b">
        <f ca="1">IF(OR($EA$5="P",$EA$5="SS",$EA$5="S"),INDEX(INDIRECT($EA$6),$B15,ED$8),
IF(OR($EA$5="N",$EA$5="AP",$EA$5="AT",$EA$5="SP"),INDEX(INDIRECT($EA$7),$B15,ED$8)))</f>
        <v>0</v>
      </c>
      <c r="EE15" s="185" t="b">
        <f ca="1">IF(OR($EA$5="P",$EA$5="SS",$EA$5="S"),INDEX(INDIRECT($EA$6),$B15,EE$8),
IF(OR($EA$5="N",$EA$5="AP",$EA$5="AT",$EA$5="SP"),INDEX(INDIRECT($EA$7),$B15,EE$8)))</f>
        <v>0</v>
      </c>
      <c r="EF15" s="186"/>
      <c r="EG15" s="186"/>
      <c r="EI15" s="184" t="b">
        <f ca="1">IF(OR($EI$5="P",$EI$5="SS",$EI$5="S"),INDEX(INDIRECT($EI$6),$B15,EI$8),
IF(OR($EI$5="N",$EI$5="AP",$EI$5="AT",$EI$5="SP"),INDEX(INDIRECT($EI$7),$B15,EI$8)))</f>
        <v>0</v>
      </c>
      <c r="EJ15" s="184" t="b">
        <f ca="1">IF(OR($EI$5="P",$EI$5="SS",$EI$5="S"),INDEX(INDIRECT($EI$6),$B15,EJ$8),
IF(OR($EI$5="N",$EI$5="AP",$EI$5="AT",$EI$5="SP"),INDEX(INDIRECT($EI$7),$B15,EJ$8)))</f>
        <v>0</v>
      </c>
      <c r="EK15" s="185" t="b">
        <f ca="1">IF(OR($EI$5="P",$EI$5="SS",$EI$5="S"),INDEX(INDIRECT($EI$6),$B15,EK$8),
IF(OR($EI$5="N",$EI$5="AP",$EI$5="AT",$EI$5="SP"),INDEX(INDIRECT($EI$7),$B15,EK$8)))</f>
        <v>0</v>
      </c>
      <c r="EL15" s="186" t="b">
        <f ca="1">IF(OR($EI$5="P",$EI$5="SS",$EI$5="S"),INDEX(INDIRECT($EI$6),$B15,EL$8),
IF(OR($EI$5="N",$EI$5="AP",$EI$5="AT",$EI$5="SP"),INDEX(INDIRECT($EI$7),$B15,EL$8)))</f>
        <v>0</v>
      </c>
      <c r="EM15" s="185" t="b">
        <f ca="1">IF(OR($EI$5="P",$EI$5="SS",$EI$5="S"),INDEX(INDIRECT($EI$6),$B15,EM$8),
IF(OR($EI$5="N",$EI$5="AP",$EI$5="AT",$EI$5="SP"),INDEX(INDIRECT($EI$7),$B15,EM$8)))</f>
        <v>0</v>
      </c>
      <c r="EN15" s="186"/>
      <c r="EO15" s="186"/>
      <c r="EQ15" s="184" t="b">
        <f ca="1">IF(OR($EQ$5="P",$EQ$5="SS",$EQ$5="S"),INDEX(INDIRECT($EQ$6),$B15,EQ$8),
IF(OR($EQ$5="N",$EQ$5="AP",$EQ$5="AT",$EQ$5="SP"),INDEX(INDIRECT($EQ$7),$B15,EQ$8)))</f>
        <v>0</v>
      </c>
      <c r="ER15" s="184" t="b">
        <f ca="1">IF(OR($EQ$5="P",$EQ$5="SS",$EQ$5="S"),INDEX(INDIRECT($EQ$6),$B15,ER$8),
IF(OR($EQ$5="N",$EQ$5="AP",$EQ$5="AT",$EQ$5="SP"),INDEX(INDIRECT($EQ$7),$B15,ER$8)))</f>
        <v>0</v>
      </c>
      <c r="ES15" s="185" t="b">
        <f ca="1">IF(OR($EQ$5="P",$EQ$5="SS",$EQ$5="S"),INDEX(INDIRECT($EQ$6),$B15,ES$8),
IF(OR($EQ$5="N",$EQ$5="AP",$EQ$5="AT",$EQ$5="SP"),INDEX(INDIRECT($EQ$7),$B15,ES$8)))</f>
        <v>0</v>
      </c>
      <c r="ET15" s="186" t="b">
        <f ca="1">IF(OR($EQ$5="P",$EQ$5="SS",$EQ$5="S"),INDEX(INDIRECT($EQ$6),$B15,ET$8),
IF(OR($EQ$5="N",$EQ$5="AP",$EQ$5="AT",$EQ$5="SP"),INDEX(INDIRECT($EQ$7),$B15,ET$8)))</f>
        <v>0</v>
      </c>
      <c r="EU15" s="185" t="b">
        <f ca="1">IF(OR($EQ$5="P",$EQ$5="SS",$EQ$5="S"),INDEX(INDIRECT($EQ$6),$B15,EU$8),
IF(OR($EQ$5="N",$EQ$5="AP",$EQ$5="AT",$EQ$5="SP"),INDEX(INDIRECT($EQ$7),$B15,EU$8)))</f>
        <v>0</v>
      </c>
      <c r="EV15" s="186"/>
      <c r="EW15" s="186"/>
      <c r="EY15" s="184" t="b">
        <f ca="1">IF(OR($EY$5="P",$EY$5="SS",$EY$5="S"),INDEX(INDIRECT($EY$6),$B15,EY$8),
IF(OR($EY$5="N",$EY$5="AP",$EY$5="AT",$EY$5="SP"),INDEX(INDIRECT($EY$7),$B15,EY$8)))</f>
        <v>0</v>
      </c>
      <c r="EZ15" s="184" t="b">
        <f ca="1">IF(OR($EY$5="P",$EY$5="SS",$EY$5="S"),INDEX(INDIRECT($EY$6),$B15,EZ$8),
IF(OR($EY$5="N",$EY$5="AP",$EY$5="AT",$EY$5="SP"),INDEX(INDIRECT($EY$7),$B15,EZ$8)))</f>
        <v>0</v>
      </c>
      <c r="FA15" s="185" t="b">
        <f ca="1">IF(OR($EY$5="P",$EY$5="SS",$EY$5="S"),INDEX(INDIRECT($EY$6),$B15,FA$8),
IF(OR($EY$5="N",$EY$5="AP",$EY$5="AT",$EY$5="SP"),INDEX(INDIRECT($EY$7),$B15,FA$8)))</f>
        <v>0</v>
      </c>
      <c r="FB15" s="186" t="b">
        <f ca="1">IF(OR($EY$5="P",$EY$5="SS",$EY$5="S"),INDEX(INDIRECT($EY$6),$B15,FB$8),
IF(OR($EY$5="N",$EY$5="AP",$EY$5="AT",$EY$5="SP"),INDEX(INDIRECT($EY$7),$B15,FB$8)))</f>
        <v>0</v>
      </c>
      <c r="FC15" s="185" t="b">
        <f ca="1">IF(OR($EY$5="P",$EY$5="SS",$EY$5="S"),INDEX(INDIRECT($EY$6),$B15,FC$8),
IF(OR($EY$5="N",$EY$5="AP",$EY$5="AT",$EY$5="SP"),INDEX(INDIRECT($EY$7),$B15,FC$8)))</f>
        <v>0</v>
      </c>
      <c r="FD15" s="186"/>
      <c r="FE15" s="186"/>
    </row>
    <row r="16" spans="1:161" x14ac:dyDescent="0.2">
      <c r="A16" s="183" t="s">
        <v>110</v>
      </c>
      <c r="B16" s="183">
        <v>8</v>
      </c>
      <c r="C16" s="186"/>
      <c r="D16" s="186"/>
      <c r="E16" s="186"/>
      <c r="F16" s="186">
        <f t="shared" ca="1" si="40"/>
        <v>0.01</v>
      </c>
      <c r="G16" s="186"/>
      <c r="H16" s="184">
        <f t="shared" ca="1" si="60"/>
        <v>1.4999999999999999E-2</v>
      </c>
      <c r="I16" s="184">
        <f t="shared" ca="1" si="60"/>
        <v>0.02</v>
      </c>
      <c r="K16" s="186"/>
      <c r="L16" s="186"/>
      <c r="M16" s="186"/>
      <c r="N16" s="186" t="b">
        <f t="shared" ca="1" si="41"/>
        <v>0</v>
      </c>
      <c r="O16" s="186"/>
      <c r="P16" s="184" t="b">
        <f t="shared" ca="1" si="61"/>
        <v>0</v>
      </c>
      <c r="Q16" s="184" t="b">
        <f t="shared" ca="1" si="61"/>
        <v>0</v>
      </c>
      <c r="S16" s="186"/>
      <c r="T16" s="186"/>
      <c r="U16" s="186"/>
      <c r="V16" s="186" t="b">
        <f t="shared" ca="1" si="42"/>
        <v>0</v>
      </c>
      <c r="W16" s="186"/>
      <c r="X16" s="184" t="b">
        <f t="shared" ca="1" si="62"/>
        <v>0</v>
      </c>
      <c r="Y16" s="184" t="b">
        <f t="shared" ca="1" si="62"/>
        <v>0</v>
      </c>
      <c r="AA16" s="186"/>
      <c r="AB16" s="186"/>
      <c r="AC16" s="186"/>
      <c r="AD16" s="186" t="b">
        <f t="shared" ca="1" si="43"/>
        <v>0</v>
      </c>
      <c r="AE16" s="186"/>
      <c r="AF16" s="184" t="b">
        <f t="shared" ca="1" si="63"/>
        <v>0</v>
      </c>
      <c r="AG16" s="184" t="b">
        <f t="shared" ca="1" si="63"/>
        <v>0</v>
      </c>
      <c r="AI16" s="186"/>
      <c r="AJ16" s="186"/>
      <c r="AK16" s="186"/>
      <c r="AL16" s="186" t="b">
        <f t="shared" ca="1" si="44"/>
        <v>0</v>
      </c>
      <c r="AM16" s="186"/>
      <c r="AN16" s="184" t="b">
        <f t="shared" ca="1" si="64"/>
        <v>0</v>
      </c>
      <c r="AO16" s="184" t="b">
        <f t="shared" ca="1" si="64"/>
        <v>0</v>
      </c>
      <c r="AQ16" s="186"/>
      <c r="AR16" s="186"/>
      <c r="AS16" s="186"/>
      <c r="AT16" s="186" t="b">
        <f t="shared" ca="1" si="45"/>
        <v>0</v>
      </c>
      <c r="AU16" s="186"/>
      <c r="AV16" s="184" t="b">
        <f t="shared" ca="1" si="65"/>
        <v>0</v>
      </c>
      <c r="AW16" s="184" t="b">
        <f t="shared" ca="1" si="65"/>
        <v>0</v>
      </c>
      <c r="AY16" s="186"/>
      <c r="AZ16" s="186"/>
      <c r="BA16" s="186"/>
      <c r="BB16" s="186" t="b">
        <f t="shared" ca="1" si="46"/>
        <v>0</v>
      </c>
      <c r="BC16" s="186"/>
      <c r="BD16" s="184" t="b">
        <f t="shared" ca="1" si="66"/>
        <v>0</v>
      </c>
      <c r="BE16" s="184" t="b">
        <f t="shared" ca="1" si="66"/>
        <v>0</v>
      </c>
      <c r="BG16" s="186"/>
      <c r="BH16" s="186"/>
      <c r="BI16" s="186"/>
      <c r="BJ16" s="186" t="b">
        <f t="shared" ca="1" si="47"/>
        <v>0</v>
      </c>
      <c r="BK16" s="186"/>
      <c r="BL16" s="184" t="b">
        <f t="shared" ca="1" si="67"/>
        <v>0</v>
      </c>
      <c r="BM16" s="184" t="b">
        <f t="shared" ca="1" si="67"/>
        <v>0</v>
      </c>
      <c r="BO16" s="186"/>
      <c r="BP16" s="186"/>
      <c r="BQ16" s="186"/>
      <c r="BR16" s="186" t="b">
        <f t="shared" ca="1" si="48"/>
        <v>0</v>
      </c>
      <c r="BS16" s="186"/>
      <c r="BT16" s="184" t="b">
        <f t="shared" ca="1" si="68"/>
        <v>0</v>
      </c>
      <c r="BU16" s="184" t="b">
        <f t="shared" ca="1" si="68"/>
        <v>0</v>
      </c>
      <c r="BV16" s="187"/>
      <c r="BW16" s="186"/>
      <c r="BX16" s="186"/>
      <c r="BY16" s="186"/>
      <c r="BZ16" s="186" t="b">
        <f t="shared" ca="1" si="49"/>
        <v>0</v>
      </c>
      <c r="CA16" s="186"/>
      <c r="CB16" s="184" t="b">
        <f t="shared" ca="1" si="69"/>
        <v>0</v>
      </c>
      <c r="CC16" s="184" t="b">
        <f t="shared" ca="1" si="69"/>
        <v>0</v>
      </c>
      <c r="CE16" s="186"/>
      <c r="CF16" s="186"/>
      <c r="CG16" s="186"/>
      <c r="CH16" s="186" t="b">
        <f t="shared" ca="1" si="50"/>
        <v>0</v>
      </c>
      <c r="CI16" s="186"/>
      <c r="CJ16" s="184" t="b">
        <f t="shared" ca="1" si="70"/>
        <v>0</v>
      </c>
      <c r="CK16" s="184" t="b">
        <f t="shared" ca="1" si="70"/>
        <v>0</v>
      </c>
      <c r="CM16" s="186"/>
      <c r="CN16" s="186"/>
      <c r="CO16" s="186"/>
      <c r="CP16" s="186" t="b">
        <f t="shared" ca="1" si="51"/>
        <v>0</v>
      </c>
      <c r="CQ16" s="186"/>
      <c r="CR16" s="184" t="b">
        <f t="shared" ca="1" si="71"/>
        <v>0</v>
      </c>
      <c r="CS16" s="184" t="b">
        <f t="shared" ca="1" si="71"/>
        <v>0</v>
      </c>
      <c r="CU16" s="186"/>
      <c r="CV16" s="186"/>
      <c r="CW16" s="186"/>
      <c r="CX16" s="186" t="b">
        <f t="shared" ca="1" si="52"/>
        <v>0</v>
      </c>
      <c r="CY16" s="186"/>
      <c r="CZ16" s="184" t="b">
        <f t="shared" ca="1" si="72"/>
        <v>0</v>
      </c>
      <c r="DA16" s="184" t="b">
        <f t="shared" ca="1" si="72"/>
        <v>0</v>
      </c>
      <c r="DC16" s="186"/>
      <c r="DD16" s="186"/>
      <c r="DE16" s="186"/>
      <c r="DF16" s="186" t="b">
        <f t="shared" ca="1" si="53"/>
        <v>0</v>
      </c>
      <c r="DG16" s="186"/>
      <c r="DH16" s="184" t="b">
        <f t="shared" ca="1" si="73"/>
        <v>0</v>
      </c>
      <c r="DI16" s="184" t="b">
        <f t="shared" ca="1" si="73"/>
        <v>0</v>
      </c>
      <c r="DK16" s="186"/>
      <c r="DL16" s="186"/>
      <c r="DM16" s="186"/>
      <c r="DN16" s="186" t="b">
        <f t="shared" ca="1" si="54"/>
        <v>0</v>
      </c>
      <c r="DO16" s="186"/>
      <c r="DP16" s="184" t="b">
        <f t="shared" ca="1" si="74"/>
        <v>0</v>
      </c>
      <c r="DQ16" s="184" t="b">
        <f t="shared" ca="1" si="74"/>
        <v>0</v>
      </c>
      <c r="DS16" s="186"/>
      <c r="DT16" s="186"/>
      <c r="DU16" s="186"/>
      <c r="DV16" s="186" t="b">
        <f t="shared" ca="1" si="55"/>
        <v>0</v>
      </c>
      <c r="DW16" s="186"/>
      <c r="DX16" s="184" t="b">
        <f t="shared" ca="1" si="75"/>
        <v>0</v>
      </c>
      <c r="DY16" s="184" t="b">
        <f t="shared" ca="1" si="75"/>
        <v>0</v>
      </c>
      <c r="EA16" s="186"/>
      <c r="EB16" s="186"/>
      <c r="EC16" s="186"/>
      <c r="ED16" s="186" t="b">
        <f t="shared" ca="1" si="56"/>
        <v>0</v>
      </c>
      <c r="EE16" s="186"/>
      <c r="EF16" s="184" t="b">
        <f t="shared" ca="1" si="76"/>
        <v>0</v>
      </c>
      <c r="EG16" s="184" t="b">
        <f t="shared" ca="1" si="76"/>
        <v>0</v>
      </c>
      <c r="EI16" s="186"/>
      <c r="EJ16" s="186"/>
      <c r="EK16" s="186"/>
      <c r="EL16" s="186" t="b">
        <f t="shared" ca="1" si="57"/>
        <v>0</v>
      </c>
      <c r="EM16" s="186"/>
      <c r="EN16" s="184" t="b">
        <f t="shared" ca="1" si="77"/>
        <v>0</v>
      </c>
      <c r="EO16" s="184" t="b">
        <f t="shared" ca="1" si="77"/>
        <v>0</v>
      </c>
      <c r="EQ16" s="186"/>
      <c r="ER16" s="186"/>
      <c r="ES16" s="186"/>
      <c r="ET16" s="186" t="b">
        <f t="shared" ca="1" si="58"/>
        <v>0</v>
      </c>
      <c r="EU16" s="186"/>
      <c r="EV16" s="184" t="b">
        <f t="shared" ca="1" si="78"/>
        <v>0</v>
      </c>
      <c r="EW16" s="184" t="b">
        <f t="shared" ca="1" si="78"/>
        <v>0</v>
      </c>
      <c r="EY16" s="186"/>
      <c r="EZ16" s="186"/>
      <c r="FA16" s="186"/>
      <c r="FB16" s="186" t="b">
        <f t="shared" ca="1" si="59"/>
        <v>0</v>
      </c>
      <c r="FC16" s="186"/>
      <c r="FD16" s="184" t="b">
        <f t="shared" ca="1" si="79"/>
        <v>0</v>
      </c>
      <c r="FE16" s="184" t="b">
        <f t="shared" ca="1" si="79"/>
        <v>0</v>
      </c>
    </row>
    <row r="17" spans="1:161" x14ac:dyDescent="0.2">
      <c r="A17" s="183" t="s">
        <v>34</v>
      </c>
      <c r="B17" s="183">
        <v>9</v>
      </c>
      <c r="C17" s="186"/>
      <c r="D17" s="186"/>
      <c r="E17" s="185">
        <f ca="1">IF(OR($C$5="P",$C$5="SS",$C$5="S"),INDEX(INDIRECT($C$6),$B17,E$8),
IF(OR($C$5="N",$C$5="AP",$C$5="AT",$C$5="SP"),INDEX(INDIRECT($C$7),$B17,E$8)))</f>
        <v>0.05</v>
      </c>
      <c r="F17" s="186">
        <f t="shared" ca="1" si="40"/>
        <v>5.5E-2</v>
      </c>
      <c r="G17" s="185">
        <f ca="1">IF(OR($C$5="P",$C$5="SS",$C$5="S"),INDEX(INDIRECT($C$6),$B17,G$8),
IF(OR($C$5="N",$C$5="AP",$C$5="AT",$C$5="SP"),INDEX(INDIRECT($C$7),$B17,G$8)))</f>
        <v>0.06</v>
      </c>
      <c r="H17" s="184">
        <f t="shared" ca="1" si="60"/>
        <v>7.0000000000000007E-2</v>
      </c>
      <c r="I17" s="184">
        <f t="shared" ca="1" si="60"/>
        <v>0.08</v>
      </c>
      <c r="K17" s="186"/>
      <c r="L17" s="186"/>
      <c r="M17" s="185" t="b">
        <f ca="1">IF(OR($K$5="P",$K$5="SS",$K$5="S"),INDEX(INDIRECT($K$6),$B17,M$8),
IF(OR($K$5="N",$K$5="AP",$K$5="AT",$K$5="SP"),INDEX(INDIRECT($K$7),$B17,M$8)))</f>
        <v>0</v>
      </c>
      <c r="N17" s="186" t="b">
        <f t="shared" ca="1" si="41"/>
        <v>0</v>
      </c>
      <c r="O17" s="185" t="b">
        <f ca="1">IF(OR($K$5="P",$K$5="SS",$K$5="S"),INDEX(INDIRECT($K$6),$B17,O$8),
IF(OR($K$5="N",$K$5="AP",$K$5="AT",$K$5="SP"),INDEX(INDIRECT($K$7),$B17,O$8)))</f>
        <v>0</v>
      </c>
      <c r="P17" s="184" t="b">
        <f t="shared" ca="1" si="61"/>
        <v>0</v>
      </c>
      <c r="Q17" s="184" t="b">
        <f t="shared" ca="1" si="61"/>
        <v>0</v>
      </c>
      <c r="S17" s="186"/>
      <c r="T17" s="186"/>
      <c r="U17" s="185" t="b">
        <f ca="1">IF(OR($S$5="P",$S$5="SS",$S$5="S"),INDEX(INDIRECT($S$6),$B17,U$8),
IF(OR($S$5="N",$S$5="AP",$S$5="AT",$S$5="SP"),INDEX(INDIRECT($S$7),$B17,U$8)))</f>
        <v>0</v>
      </c>
      <c r="V17" s="186" t="b">
        <f t="shared" ca="1" si="42"/>
        <v>0</v>
      </c>
      <c r="W17" s="185" t="b">
        <f ca="1">IF(OR($S$5="P",$S$5="SS",$S$5="S"),INDEX(INDIRECT($S$6),$B17,W$8),
IF(OR($S$5="N",$S$5="AP",$S$5="AT",$S$5="SP"),INDEX(INDIRECT($S$7),$B17,W$8)))</f>
        <v>0</v>
      </c>
      <c r="X17" s="184" t="b">
        <f t="shared" ca="1" si="62"/>
        <v>0</v>
      </c>
      <c r="Y17" s="184" t="b">
        <f t="shared" ca="1" si="62"/>
        <v>0</v>
      </c>
      <c r="AA17" s="186"/>
      <c r="AB17" s="186"/>
      <c r="AC17" s="185" t="b">
        <f ca="1">IF(OR($AA$5="P",$AA$5="SS",$AA$5="S"),INDEX(INDIRECT($AA$6),$B17,AC$8),
IF(OR($AA$5="N",$AA$5="AP",$AA$5="AT",$AA$5="SP"),INDEX(INDIRECT($AA$7),$B17,AC$8)))</f>
        <v>0</v>
      </c>
      <c r="AD17" s="186" t="b">
        <f t="shared" ca="1" si="43"/>
        <v>0</v>
      </c>
      <c r="AE17" s="185" t="b">
        <f ca="1">IF(OR($AA$5="P",$AA$5="SS",$AA$5="S"),INDEX(INDIRECT($AA$6),$B17,AE$8),
IF(OR($AA$5="N",$AA$5="AP",$AA$5="AT",$AA$5="SP"),INDEX(INDIRECT($AA$7),$B17,AE$8)))</f>
        <v>0</v>
      </c>
      <c r="AF17" s="184" t="b">
        <f t="shared" ca="1" si="63"/>
        <v>0</v>
      </c>
      <c r="AG17" s="184" t="b">
        <f t="shared" ca="1" si="63"/>
        <v>0</v>
      </c>
      <c r="AI17" s="186"/>
      <c r="AJ17" s="186"/>
      <c r="AK17" s="185" t="b">
        <f ca="1">IF(OR($AI$5="P",$AI$5="SS",$AI$5="S"),INDEX(INDIRECT($AI$6),$B17,AK$8),
IF(OR($AI$5="N",$AI$5="AP",$AI$5="AT",$AI$5="SP"),INDEX(INDIRECT($AI$7),$B17,AK$8)))</f>
        <v>0</v>
      </c>
      <c r="AL17" s="186" t="b">
        <f t="shared" ca="1" si="44"/>
        <v>0</v>
      </c>
      <c r="AM17" s="185" t="b">
        <f ca="1">IF(OR($AI$5="P",$AI$5="SS",$AI$5="S"),INDEX(INDIRECT($AI$6),$B17,AM$8),
IF(OR($AI$5="N",$AI$5="AP",$AI$5="AT",$AI$5="SP"),INDEX(INDIRECT($AI$7),$B17,AM$8)))</f>
        <v>0</v>
      </c>
      <c r="AN17" s="184" t="b">
        <f t="shared" ca="1" si="64"/>
        <v>0</v>
      </c>
      <c r="AO17" s="184" t="b">
        <f t="shared" ca="1" si="64"/>
        <v>0</v>
      </c>
      <c r="AQ17" s="186"/>
      <c r="AR17" s="186"/>
      <c r="AS17" s="185" t="b">
        <f ca="1">IF(OR($AQ$5="P",$AQ$5="SS",$AQ$5="S"),INDEX(INDIRECT($AQ$6),$B17,AS$8),
IF(OR($AQ$5="N",$AQ$5="AP",$AQ$5="AT",$AQ$5="SP"),INDEX(INDIRECT($AQ$7),$B17,AS$8)))</f>
        <v>0</v>
      </c>
      <c r="AT17" s="186" t="b">
        <f t="shared" ca="1" si="45"/>
        <v>0</v>
      </c>
      <c r="AU17" s="185" t="b">
        <f ca="1">IF(OR($AQ$5="P",$AQ$5="SS",$AQ$5="S"),INDEX(INDIRECT($AQ$6),$B17,AU$8),
IF(OR($AQ$5="N",$AQ$5="AP",$AQ$5="AT",$AQ$5="SP"),INDEX(INDIRECT($AQ$7),$B17,AU$8)))</f>
        <v>0</v>
      </c>
      <c r="AV17" s="184" t="b">
        <f t="shared" ca="1" si="65"/>
        <v>0</v>
      </c>
      <c r="AW17" s="184" t="b">
        <f t="shared" ca="1" si="65"/>
        <v>0</v>
      </c>
      <c r="AY17" s="186"/>
      <c r="AZ17" s="186"/>
      <c r="BA17" s="185" t="b">
        <f ca="1">IF(OR($AY$5="P",$AY$5="SS",$AY$5="S"),INDEX(INDIRECT($AY$6),$B17,BA$8),
IF(OR($AY$5="N",$AY$5="AP",$AY$5="AT",$AY$5="SP"),INDEX(INDIRECT($AY$7),$B17,BA$8)))</f>
        <v>0</v>
      </c>
      <c r="BB17" s="186" t="b">
        <f t="shared" ca="1" si="46"/>
        <v>0</v>
      </c>
      <c r="BC17" s="185" t="b">
        <f ca="1">IF(OR($AY$5="P",$AY$5="SS",$AY$5="S"),INDEX(INDIRECT($AY$6),$B17,BC$8),
IF(OR($AY$5="N",$AY$5="AP",$AY$5="AT",$AY$5="SP"),INDEX(INDIRECT($AY$7),$B17,BC$8)))</f>
        <v>0</v>
      </c>
      <c r="BD17" s="184" t="b">
        <f t="shared" ca="1" si="66"/>
        <v>0</v>
      </c>
      <c r="BE17" s="184" t="b">
        <f t="shared" ca="1" si="66"/>
        <v>0</v>
      </c>
      <c r="BG17" s="186"/>
      <c r="BH17" s="186"/>
      <c r="BI17" s="185" t="b">
        <f ca="1">IF(OR($BG$5="P",$BG$5="SS",$BG$5="S"),INDEX(INDIRECT($BG$6),$B17,BI$8),
IF(OR($BG$5="N",$BG$5="AP",$BG$5="AT",$BG$5="SP"),INDEX(INDIRECT($BG$7),$B17,BI$8)))</f>
        <v>0</v>
      </c>
      <c r="BJ17" s="186" t="b">
        <f t="shared" ca="1" si="47"/>
        <v>0</v>
      </c>
      <c r="BK17" s="185" t="b">
        <f ca="1">IF(OR($BG$5="P",$BG$5="SS",$BG$5="S"),INDEX(INDIRECT($BG$6),$B17,BK$8),
IF(OR($BG$5="N",$BG$5="AP",$BG$5="AT",$BG$5="SP"),INDEX(INDIRECT($BG$7),$B17,BK$8)))</f>
        <v>0</v>
      </c>
      <c r="BL17" s="184" t="b">
        <f t="shared" ca="1" si="67"/>
        <v>0</v>
      </c>
      <c r="BM17" s="184" t="b">
        <f t="shared" ca="1" si="67"/>
        <v>0</v>
      </c>
      <c r="BO17" s="186"/>
      <c r="BP17" s="186"/>
      <c r="BQ17" s="185" t="b">
        <f ca="1">IF(OR($BO$5="P",$BO$5="SS",$BO$5="S"),INDEX(INDIRECT($BO$6),$B17,BQ$8),
IF(OR($BO$5="N",$BO$5="AP",$BO$5="AT",$BO$5="SP"),INDEX(INDIRECT($BO$7),$B17,BQ$8)))</f>
        <v>0</v>
      </c>
      <c r="BR17" s="186" t="b">
        <f t="shared" ca="1" si="48"/>
        <v>0</v>
      </c>
      <c r="BS17" s="185" t="b">
        <f ca="1">IF(OR($BO$5="P",$BO$5="SS",$BO$5="S"),INDEX(INDIRECT($BO$6),$B17,BS$8),
IF(OR($BO$5="N",$BO$5="AP",$BO$5="AT",$BO$5="SP"),INDEX(INDIRECT($BO$7),$B17,BS$8)))</f>
        <v>0</v>
      </c>
      <c r="BT17" s="184" t="b">
        <f t="shared" ca="1" si="68"/>
        <v>0</v>
      </c>
      <c r="BU17" s="184" t="b">
        <f t="shared" ca="1" si="68"/>
        <v>0</v>
      </c>
      <c r="BV17" s="187"/>
      <c r="BW17" s="186"/>
      <c r="BX17" s="186"/>
      <c r="BY17" s="185" t="b">
        <f ca="1">IF(OR($BW$5="P",$BW$5="SS",$BW$5="S"),INDEX(INDIRECT($BW$6),$B17,BY$8),
IF(OR($BW$5="N",$BW$5="AP",$BW$5="AT",$BW$5="SP"),INDEX(INDIRECT($BW$7),$B17,BY$8)))</f>
        <v>0</v>
      </c>
      <c r="BZ17" s="186" t="b">
        <f t="shared" ca="1" si="49"/>
        <v>0</v>
      </c>
      <c r="CA17" s="185" t="b">
        <f ca="1">IF(OR($BW$5="P",$BW$5="SS",$BW$5="S"),INDEX(INDIRECT($BW$6),$B17,CA$8),
IF(OR($BW$5="N",$BW$5="AP",$BW$5="AT",$BW$5="SP"),INDEX(INDIRECT($BW$7),$B17,CA$8)))</f>
        <v>0</v>
      </c>
      <c r="CB17" s="184" t="b">
        <f t="shared" ca="1" si="69"/>
        <v>0</v>
      </c>
      <c r="CC17" s="184" t="b">
        <f t="shared" ca="1" si="69"/>
        <v>0</v>
      </c>
      <c r="CE17" s="186"/>
      <c r="CF17" s="186"/>
      <c r="CG17" s="185" t="b">
        <f ca="1">IF(OR($CE$5="P",$CE$5="SS",$CE$5="S"),INDEX(INDIRECT($CE$6),$B17,CG$8),
IF(OR($CE$5="N",$CE$5="AP",$CE$5="AT",$CE$5="SP"),INDEX(INDIRECT($CE$7),$B17,CG$8)))</f>
        <v>0</v>
      </c>
      <c r="CH17" s="186" t="b">
        <f t="shared" ca="1" si="50"/>
        <v>0</v>
      </c>
      <c r="CI17" s="185" t="b">
        <f ca="1">IF(OR($CE$5="P",$CE$5="SS",$CE$5="S"),INDEX(INDIRECT($CE$6),$B17,CI$8),
IF(OR($CE$5="N",$CE$5="AP",$CE$5="AT",$CE$5="SP"),INDEX(INDIRECT($CE$7),$B17,CI$8)))</f>
        <v>0</v>
      </c>
      <c r="CJ17" s="184" t="b">
        <f t="shared" ca="1" si="70"/>
        <v>0</v>
      </c>
      <c r="CK17" s="184" t="b">
        <f t="shared" ca="1" si="70"/>
        <v>0</v>
      </c>
      <c r="CM17" s="186"/>
      <c r="CN17" s="186"/>
      <c r="CO17" s="185" t="b">
        <f ca="1">IF(OR($CM$5="P",$CM$5="SS",$CM$5="S"),INDEX(INDIRECT($CM$6),$B17,CO$8),
IF(OR($CM$5="N",$CM$5="AP",$CM$5="AT",$CM$5="SP"),INDEX(INDIRECT($CM$7),$B17,CO$8)))</f>
        <v>0</v>
      </c>
      <c r="CP17" s="186" t="b">
        <f t="shared" ca="1" si="51"/>
        <v>0</v>
      </c>
      <c r="CQ17" s="185" t="b">
        <f ca="1">IF(OR($CM$5="P",$CM$5="SS",$CM$5="S"),INDEX(INDIRECT($CM$6),$B17,CQ$8),
IF(OR($CM$5="N",$CM$5="AP",$CM$5="AT",$CM$5="SP"),INDEX(INDIRECT($CM$7),$B17,CQ$8)))</f>
        <v>0</v>
      </c>
      <c r="CR17" s="184" t="b">
        <f t="shared" ca="1" si="71"/>
        <v>0</v>
      </c>
      <c r="CS17" s="184" t="b">
        <f t="shared" ca="1" si="71"/>
        <v>0</v>
      </c>
      <c r="CU17" s="186"/>
      <c r="CV17" s="186"/>
      <c r="CW17" s="185" t="b">
        <f ca="1">IF(OR($CU$5="P",$CU$5="SS",$CU$5="S"),INDEX(INDIRECT($CU$6),$B17,CW$8),
IF(OR($CU$5="N",$CU$5="AP",$CU$5="AT",$CU$5="SP"),INDEX(INDIRECT($CU$7),$B17,CW$8)))</f>
        <v>0</v>
      </c>
      <c r="CX17" s="186" t="b">
        <f t="shared" ca="1" si="52"/>
        <v>0</v>
      </c>
      <c r="CY17" s="185" t="b">
        <f ca="1">IF(OR($CU$5="P",$CU$5="SS",$CU$5="S"),INDEX(INDIRECT($CU$6),$B17,CY$8),
IF(OR($CU$5="N",$CU$5="AP",$CU$5="AT",$CU$5="SP"),INDEX(INDIRECT($CU$7),$B17,CY$8)))</f>
        <v>0</v>
      </c>
      <c r="CZ17" s="184" t="b">
        <f t="shared" ca="1" si="72"/>
        <v>0</v>
      </c>
      <c r="DA17" s="184" t="b">
        <f t="shared" ca="1" si="72"/>
        <v>0</v>
      </c>
      <c r="DC17" s="186"/>
      <c r="DD17" s="186"/>
      <c r="DE17" s="185" t="b">
        <f ca="1">IF(OR($DC$5="P",$DC$5="SS",$DC$5="S"),INDEX(INDIRECT($DC$6),$B17,DE$8),
IF(OR($DC$5="N",$DC$5="AP",$DC$5="AT",$DC$5="SP"),INDEX(INDIRECT($DC$7),$B17,DE$8)))</f>
        <v>0</v>
      </c>
      <c r="DF17" s="186" t="b">
        <f t="shared" ca="1" si="53"/>
        <v>0</v>
      </c>
      <c r="DG17" s="185" t="b">
        <f ca="1">IF(OR($DC$5="P",$DC$5="SS",$DC$5="S"),INDEX(INDIRECT($DC$6),$B17,DG$8),
IF(OR($DC$5="N",$DC$5="AP",$DC$5="AT",$DC$5="SP"),INDEX(INDIRECT($DC$7),$B17,DG$8)))</f>
        <v>0</v>
      </c>
      <c r="DH17" s="184" t="b">
        <f t="shared" ca="1" si="73"/>
        <v>0</v>
      </c>
      <c r="DI17" s="184" t="b">
        <f t="shared" ca="1" si="73"/>
        <v>0</v>
      </c>
      <c r="DK17" s="186"/>
      <c r="DL17" s="186"/>
      <c r="DM17" s="185" t="b">
        <f ca="1">IF(OR($DK$5="P",$DK$5="SS",$DK$5="S"),INDEX(INDIRECT($DK$6),$B17,DM$8),
IF(OR($DK$5="N",$DK$5="AP",$DK$5="AT",$DK$5="SP"),INDEX(INDIRECT($DK$7),$B17,DM$8)))</f>
        <v>0</v>
      </c>
      <c r="DN17" s="186" t="b">
        <f t="shared" ca="1" si="54"/>
        <v>0</v>
      </c>
      <c r="DO17" s="185" t="b">
        <f ca="1">IF(OR($DK$5="P",$DK$5="SS",$DK$5="S"),INDEX(INDIRECT($DK$6),$B17,DO$8),
IF(OR($DK$5="N",$DK$5="AP",$DK$5="AT",$DK$5="SP"),INDEX(INDIRECT($DK$7),$B17,DO$8)))</f>
        <v>0</v>
      </c>
      <c r="DP17" s="184" t="b">
        <f t="shared" ca="1" si="74"/>
        <v>0</v>
      </c>
      <c r="DQ17" s="184" t="b">
        <f t="shared" ca="1" si="74"/>
        <v>0</v>
      </c>
      <c r="DS17" s="186"/>
      <c r="DT17" s="186"/>
      <c r="DU17" s="185" t="b">
        <f ca="1">IF(OR($DS$5="P",$DS$5="SS",$DS$5="S"),INDEX(INDIRECT($DS$6),$B17,DU$8),
IF(OR($DS$5="N",$DS$5="AP",$DS$5="AT",$DS$5="SP"),INDEX(INDIRECT($DS$7),$B17,DU$8)))</f>
        <v>0</v>
      </c>
      <c r="DV17" s="186" t="b">
        <f t="shared" ca="1" si="55"/>
        <v>0</v>
      </c>
      <c r="DW17" s="185" t="b">
        <f ca="1">IF(OR($DS$5="P",$DS$5="SS",$DS$5="S"),INDEX(INDIRECT($DS$6),$B17,DW$8),
IF(OR($DS$5="N",$DS$5="AP",$DS$5="AT",$DS$5="SP"),INDEX(INDIRECT($DS$7),$B17,DW$8)))</f>
        <v>0</v>
      </c>
      <c r="DX17" s="184" t="b">
        <f t="shared" ca="1" si="75"/>
        <v>0</v>
      </c>
      <c r="DY17" s="184" t="b">
        <f t="shared" ca="1" si="75"/>
        <v>0</v>
      </c>
      <c r="EA17" s="186"/>
      <c r="EB17" s="186"/>
      <c r="EC17" s="185" t="b">
        <f ca="1">IF(OR($EA$5="P",$EA$5="SS",$EA$5="S"),INDEX(INDIRECT($EA$6),$B17,EC$8),
IF(OR($EA$5="N",$EA$5="AP",$EA$5="AT",$EA$5="SP"),INDEX(INDIRECT($EA$7),$B17,EC$8)))</f>
        <v>0</v>
      </c>
      <c r="ED17" s="186" t="b">
        <f t="shared" ca="1" si="56"/>
        <v>0</v>
      </c>
      <c r="EE17" s="185" t="b">
        <f ca="1">IF(OR($EA$5="P",$EA$5="SS",$EA$5="S"),INDEX(INDIRECT($EA$6),$B17,EE$8),
IF(OR($EA$5="N",$EA$5="AP",$EA$5="AT",$EA$5="SP"),INDEX(INDIRECT($EA$7),$B17,EE$8)))</f>
        <v>0</v>
      </c>
      <c r="EF17" s="184" t="b">
        <f t="shared" ca="1" si="76"/>
        <v>0</v>
      </c>
      <c r="EG17" s="184" t="b">
        <f t="shared" ca="1" si="76"/>
        <v>0</v>
      </c>
      <c r="EI17" s="186"/>
      <c r="EJ17" s="186"/>
      <c r="EK17" s="185" t="b">
        <f ca="1">IF(OR($EI$5="P",$EI$5="SS",$EI$5="S"),INDEX(INDIRECT($EI$6),$B17,EK$8),
IF(OR($EI$5="N",$EI$5="AP",$EI$5="AT",$EI$5="SP"),INDEX(INDIRECT($EI$7),$B17,EK$8)))</f>
        <v>0</v>
      </c>
      <c r="EL17" s="186" t="b">
        <f t="shared" ca="1" si="57"/>
        <v>0</v>
      </c>
      <c r="EM17" s="185" t="b">
        <f ca="1">IF(OR($EI$5="P",$EI$5="SS",$EI$5="S"),INDEX(INDIRECT($EI$6),$B17,EM$8),
IF(OR($EI$5="N",$EI$5="AP",$EI$5="AT",$EI$5="SP"),INDEX(INDIRECT($EI$7),$B17,EM$8)))</f>
        <v>0</v>
      </c>
      <c r="EN17" s="184" t="b">
        <f t="shared" ca="1" si="77"/>
        <v>0</v>
      </c>
      <c r="EO17" s="184" t="b">
        <f t="shared" ca="1" si="77"/>
        <v>0</v>
      </c>
      <c r="EQ17" s="186"/>
      <c r="ER17" s="186"/>
      <c r="ES17" s="185" t="b">
        <f ca="1">IF(OR($EQ$5="P",$EQ$5="SS",$EQ$5="S"),INDEX(INDIRECT($EQ$6),$B17,ES$8),
IF(OR($EQ$5="N",$EQ$5="AP",$EQ$5="AT",$EQ$5="SP"),INDEX(INDIRECT($EQ$7),$B17,ES$8)))</f>
        <v>0</v>
      </c>
      <c r="ET17" s="186" t="b">
        <f t="shared" ca="1" si="58"/>
        <v>0</v>
      </c>
      <c r="EU17" s="185" t="b">
        <f ca="1">IF(OR($EQ$5="P",$EQ$5="SS",$EQ$5="S"),INDEX(INDIRECT($EQ$6),$B17,EU$8),
IF(OR($EQ$5="N",$EQ$5="AP",$EQ$5="AT",$EQ$5="SP"),INDEX(INDIRECT($EQ$7),$B17,EU$8)))</f>
        <v>0</v>
      </c>
      <c r="EV17" s="184" t="b">
        <f t="shared" ca="1" si="78"/>
        <v>0</v>
      </c>
      <c r="EW17" s="184" t="b">
        <f t="shared" ca="1" si="78"/>
        <v>0</v>
      </c>
      <c r="EY17" s="186"/>
      <c r="EZ17" s="186"/>
      <c r="FA17" s="185" t="b">
        <f ca="1">IF(OR($EY$5="P",$EY$5="SS",$EY$5="S"),INDEX(INDIRECT($EY$6),$B17,FA$8),
IF(OR($EY$5="N",$EY$5="AP",$EY$5="AT",$EY$5="SP"),INDEX(INDIRECT($EY$7),$B17,FA$8)))</f>
        <v>0</v>
      </c>
      <c r="FB17" s="186" t="b">
        <f t="shared" ca="1" si="59"/>
        <v>0</v>
      </c>
      <c r="FC17" s="185" t="b">
        <f ca="1">IF(OR($EY$5="P",$EY$5="SS",$EY$5="S"),INDEX(INDIRECT($EY$6),$B17,FC$8),
IF(OR($EY$5="N",$EY$5="AP",$EY$5="AT",$EY$5="SP"),INDEX(INDIRECT($EY$7),$B17,FC$8)))</f>
        <v>0</v>
      </c>
      <c r="FD17" s="184" t="b">
        <f t="shared" ca="1" si="79"/>
        <v>0</v>
      </c>
      <c r="FE17" s="184" t="b">
        <f t="shared" ca="1" si="79"/>
        <v>0</v>
      </c>
    </row>
    <row r="18" spans="1:161" x14ac:dyDescent="0.2">
      <c r="A18" s="183" t="s">
        <v>4</v>
      </c>
      <c r="B18" s="183">
        <v>10</v>
      </c>
      <c r="C18" s="189">
        <f ca="1">IF(OR($C$5="P",$C$5="SS",$C$5="S"),INDEX(INDIRECT($C$6),$B18,C$8),
IF(OR($C$5="N",$C$5="AP",$C$5="AT",$C$5="SP"),INDEX(INDIRECT($C$7),$B18,C$8)))</f>
        <v>14</v>
      </c>
      <c r="D18" s="189">
        <f ca="1">IF(OR($C$5="P",$C$5="SS",$C$5="S"),INDEX(INDIRECT($C$6),$B18,D$8),
IF(OR($C$5="N",$C$5="AP",$C$5="AT",$C$5="SP"),INDEX(INDIRECT($C$7),$B18,D$8)))</f>
        <v>15</v>
      </c>
      <c r="E18" s="190">
        <f ca="1">IF(OR($C$5="P",$C$5="SS",$C$5="S"),INDEX(INDIRECT($C$6),$B18,E$8),
IF(OR($C$5="N",$C$5="AP",$C$5="AT",$C$5="SP"),INDEX(INDIRECT($C$7),$B18,E$8)))</f>
        <v>16</v>
      </c>
      <c r="F18" s="191">
        <f t="shared" ca="1" si="40"/>
        <v>16</v>
      </c>
      <c r="G18" s="190">
        <f ca="1">IF(OR($C$5="P",$C$5="SS",$C$5="S"),INDEX(INDIRECT($C$6),$B18,G$8),
IF(OR($C$5="N",$C$5="AP",$C$5="AT",$C$5="SP"),INDEX(INDIRECT($C$7),$B18,G$8)))</f>
        <v>16.5</v>
      </c>
      <c r="H18" s="189">
        <f t="shared" ca="1" si="60"/>
        <v>17.5</v>
      </c>
      <c r="I18" s="189">
        <f t="shared" ca="1" si="60"/>
        <v>18.5</v>
      </c>
      <c r="K18" s="189" t="b">
        <f ca="1">IF(OR($K$5="P",$K$5="SS",$K$5="S"),INDEX(INDIRECT($K$6),$B18,K$8),
IF(OR($K$5="N",$K$5="AP",$K$5="AT",$K$5="SP"),INDEX(INDIRECT($K$7),$B18,K$8)))</f>
        <v>0</v>
      </c>
      <c r="L18" s="189" t="b">
        <f ca="1">IF(OR($K$5="P",$K$5="SS",$K$5="S"),INDEX(INDIRECT($K$6),$B18,L$8),
IF(OR($K$5="N",$K$5="AP",$K$5="AT",$K$5="SP"),INDEX(INDIRECT($K$7),$B18,L$8)))</f>
        <v>0</v>
      </c>
      <c r="M18" s="190" t="b">
        <f ca="1">IF(OR($K$5="P",$K$5="SS",$K$5="S"),INDEX(INDIRECT($K$6),$B18,M$8),
IF(OR($K$5="N",$K$5="AP",$K$5="AT",$K$5="SP"),INDEX(INDIRECT($K$7),$B18,M$8)))</f>
        <v>0</v>
      </c>
      <c r="N18" s="191" t="b">
        <f t="shared" ca="1" si="41"/>
        <v>0</v>
      </c>
      <c r="O18" s="190" t="b">
        <f ca="1">IF(OR($K$5="P",$K$5="SS",$K$5="S"),INDEX(INDIRECT($K$6),$B18,O$8),
IF(OR($K$5="N",$K$5="AP",$K$5="AT",$K$5="SP"),INDEX(INDIRECT($K$7),$B18,O$8)))</f>
        <v>0</v>
      </c>
      <c r="P18" s="189" t="b">
        <f t="shared" ca="1" si="61"/>
        <v>0</v>
      </c>
      <c r="Q18" s="189" t="b">
        <f t="shared" ca="1" si="61"/>
        <v>0</v>
      </c>
      <c r="S18" s="189" t="b">
        <f ca="1">IF(OR($S$5="P",$S$5="SS",$S$5="S"),INDEX(INDIRECT($S$6),$B18,S$8),
IF(OR($S$5="N",$S$5="AP",$S$5="AT",$S$5="SP"),INDEX(INDIRECT($S$7),$B18,S$8)))</f>
        <v>0</v>
      </c>
      <c r="T18" s="189" t="b">
        <f ca="1">IF(OR($S$5="P",$S$5="SS",$S$5="S"),INDEX(INDIRECT($S$6),$B18,T$8),
IF(OR($S$5="N",$S$5="AP",$S$5="AT",$S$5="SP"),INDEX(INDIRECT($S$7),$B18,T$8)))</f>
        <v>0</v>
      </c>
      <c r="U18" s="190" t="b">
        <f ca="1">IF(OR($S$5="P",$S$5="SS",$S$5="S"),INDEX(INDIRECT($S$6),$B18,U$8),
IF(OR($S$5="N",$S$5="AP",$S$5="AT",$S$5="SP"),INDEX(INDIRECT($S$7),$B18,U$8)))</f>
        <v>0</v>
      </c>
      <c r="V18" s="191" t="b">
        <f t="shared" ca="1" si="42"/>
        <v>0</v>
      </c>
      <c r="W18" s="190" t="b">
        <f ca="1">IF(OR($S$5="P",$S$5="SS",$S$5="S"),INDEX(INDIRECT($S$6),$B18,W$8),
IF(OR($S$5="N",$S$5="AP",$S$5="AT",$S$5="SP"),INDEX(INDIRECT($S$7),$B18,W$8)))</f>
        <v>0</v>
      </c>
      <c r="X18" s="189" t="b">
        <f t="shared" ca="1" si="62"/>
        <v>0</v>
      </c>
      <c r="Y18" s="189" t="b">
        <f t="shared" ca="1" si="62"/>
        <v>0</v>
      </c>
      <c r="AA18" s="189" t="b">
        <f ca="1">IF(OR($AA$5="P",$AA$5="SS",$AA$5="S"),INDEX(INDIRECT($AA$6),$B18,AA$8),
IF(OR($AA$5="N",$AA$5="AP",$AA$5="AT",$AA$5="SP"),INDEX(INDIRECT($AA$7),$B18,AA$8)))</f>
        <v>0</v>
      </c>
      <c r="AB18" s="189" t="b">
        <f ca="1">IF(OR($AA$5="P",$AA$5="SS",$AA$5="S"),INDEX(INDIRECT($AA$6),$B18,AB$8),
IF(OR($AA$5="N",$AA$5="AP",$AA$5="AT",$AA$5="SP"),INDEX(INDIRECT($AA$7),$B18,AB$8)))</f>
        <v>0</v>
      </c>
      <c r="AC18" s="190" t="b">
        <f ca="1">IF(OR($AA$5="P",$AA$5="SS",$AA$5="S"),INDEX(INDIRECT($AA$6),$B18,AC$8),
IF(OR($AA$5="N",$AA$5="AP",$AA$5="AT",$AA$5="SP"),INDEX(INDIRECT($AA$7),$B18,AC$8)))</f>
        <v>0</v>
      </c>
      <c r="AD18" s="191" t="b">
        <f t="shared" ca="1" si="43"/>
        <v>0</v>
      </c>
      <c r="AE18" s="190" t="b">
        <f ca="1">IF(OR($AA$5="P",$AA$5="SS",$AA$5="S"),INDEX(INDIRECT($AA$6),$B18,AE$8),
IF(OR($AA$5="N",$AA$5="AP",$AA$5="AT",$AA$5="SP"),INDEX(INDIRECT($AA$7),$B18,AE$8)))</f>
        <v>0</v>
      </c>
      <c r="AF18" s="189" t="b">
        <f t="shared" ca="1" si="63"/>
        <v>0</v>
      </c>
      <c r="AG18" s="189" t="b">
        <f t="shared" ca="1" si="63"/>
        <v>0</v>
      </c>
      <c r="AI18" s="189" t="b">
        <f ca="1">IF(OR($AI$5="P",$AI$5="SS",$AI$5="S"),INDEX(INDIRECT($AI$6),$B18,AI$8),
IF(OR($AI$5="N",$AI$5="AP",$AI$5="AT",$AI$5="SP"),INDEX(INDIRECT($AI$7),$B18,AI$8)))</f>
        <v>0</v>
      </c>
      <c r="AJ18" s="189" t="b">
        <f ca="1">IF(OR($AI$5="P",$AI$5="SS",$AI$5="S"),INDEX(INDIRECT($AI$6),$B18,AJ$8),
IF(OR($AI$5="N",$AI$5="AP",$AI$5="AT",$AI$5="SP"),INDEX(INDIRECT($AI$7),$B18,AJ$8)))</f>
        <v>0</v>
      </c>
      <c r="AK18" s="190" t="b">
        <f ca="1">IF(OR($AI$5="P",$AI$5="SS",$AI$5="S"),INDEX(INDIRECT($AI$6),$B18,AK$8),
IF(OR($AI$5="N",$AI$5="AP",$AI$5="AT",$AI$5="SP"),INDEX(INDIRECT($AI$7),$B18,AK$8)))</f>
        <v>0</v>
      </c>
      <c r="AL18" s="191" t="b">
        <f t="shared" ca="1" si="44"/>
        <v>0</v>
      </c>
      <c r="AM18" s="190" t="b">
        <f ca="1">IF(OR($AI$5="P",$AI$5="SS",$AI$5="S"),INDEX(INDIRECT($AI$6),$B18,AM$8),
IF(OR($AI$5="N",$AI$5="AP",$AI$5="AT",$AI$5="SP"),INDEX(INDIRECT($AI$7),$B18,AM$8)))</f>
        <v>0</v>
      </c>
      <c r="AN18" s="189" t="b">
        <f t="shared" ca="1" si="64"/>
        <v>0</v>
      </c>
      <c r="AO18" s="189" t="b">
        <f t="shared" ca="1" si="64"/>
        <v>0</v>
      </c>
      <c r="AQ18" s="189" t="b">
        <f ca="1">IF(OR($AQ$5="P",$AQ$5="SS",$AQ$5="S"),INDEX(INDIRECT($AQ$6),$B18,AQ$8),
IF(OR($AQ$5="N",$AQ$5="AP",$AQ$5="AT",$AQ$5="SP"),INDEX(INDIRECT($AQ$7),$B18,AQ$8)))</f>
        <v>0</v>
      </c>
      <c r="AR18" s="189" t="b">
        <f ca="1">IF(OR($AQ$5="P",$AQ$5="SS",$AQ$5="S"),INDEX(INDIRECT($AQ$6),$B18,AR$8),
IF(OR($AQ$5="N",$AQ$5="AP",$AQ$5="AT",$AQ$5="SP"),INDEX(INDIRECT($AQ$7),$B18,AR$8)))</f>
        <v>0</v>
      </c>
      <c r="AS18" s="190" t="b">
        <f ca="1">IF(OR($AQ$5="P",$AQ$5="SS",$AQ$5="S"),INDEX(INDIRECT($AQ$6),$B18,AS$8),
IF(OR($AQ$5="N",$AQ$5="AP",$AQ$5="AT",$AQ$5="SP"),INDEX(INDIRECT($AQ$7),$B18,AS$8)))</f>
        <v>0</v>
      </c>
      <c r="AT18" s="191" t="b">
        <f t="shared" ca="1" si="45"/>
        <v>0</v>
      </c>
      <c r="AU18" s="190" t="b">
        <f ca="1">IF(OR($AQ$5="P",$AQ$5="SS",$AQ$5="S"),INDEX(INDIRECT($AQ$6),$B18,AU$8),
IF(OR($AQ$5="N",$AQ$5="AP",$AQ$5="AT",$AQ$5="SP"),INDEX(INDIRECT($AQ$7),$B18,AU$8)))</f>
        <v>0</v>
      </c>
      <c r="AV18" s="189" t="b">
        <f t="shared" ca="1" si="65"/>
        <v>0</v>
      </c>
      <c r="AW18" s="189" t="b">
        <f t="shared" ca="1" si="65"/>
        <v>0</v>
      </c>
      <c r="AY18" s="189" t="b">
        <f ca="1">IF(OR($AY$5="P",$AY$5="SS",$AY$5="S"),INDEX(INDIRECT($AY$6),$B18,AY$8),
IF(OR($AY$5="N",$AY$5="AP",$AY$5="AT",$AY$5="SP"),INDEX(INDIRECT($AY$7),$B18,AY$8)))</f>
        <v>0</v>
      </c>
      <c r="AZ18" s="189" t="b">
        <f ca="1">IF(OR($AY$5="P",$AY$5="SS",$AY$5="S"),INDEX(INDIRECT($AY$6),$B18,AZ$8),
IF(OR($AY$5="N",$AY$5="AP",$AY$5="AT",$AY$5="SP"),INDEX(INDIRECT($AY$7),$B18,AZ$8)))</f>
        <v>0</v>
      </c>
      <c r="BA18" s="190" t="b">
        <f ca="1">IF(OR($AY$5="P",$AY$5="SS",$AY$5="S"),INDEX(INDIRECT($AY$6),$B18,BA$8),
IF(OR($AY$5="N",$AY$5="AP",$AY$5="AT",$AY$5="SP"),INDEX(INDIRECT($AY$7),$B18,BA$8)))</f>
        <v>0</v>
      </c>
      <c r="BB18" s="191" t="b">
        <f t="shared" ca="1" si="46"/>
        <v>0</v>
      </c>
      <c r="BC18" s="190" t="b">
        <f ca="1">IF(OR($AY$5="P",$AY$5="SS",$AY$5="S"),INDEX(INDIRECT($AY$6),$B18,BC$8),
IF(OR($AY$5="N",$AY$5="AP",$AY$5="AT",$AY$5="SP"),INDEX(INDIRECT($AY$7),$B18,BC$8)))</f>
        <v>0</v>
      </c>
      <c r="BD18" s="189" t="b">
        <f t="shared" ca="1" si="66"/>
        <v>0</v>
      </c>
      <c r="BE18" s="189" t="b">
        <f t="shared" ca="1" si="66"/>
        <v>0</v>
      </c>
      <c r="BG18" s="189" t="b">
        <f ca="1">IF(OR($BG$5="P",$BG$5="SS",$BG$5="S"),INDEX(INDIRECT($BG$6),$B18,BG$8),
IF(OR($BG$5="N",$BG$5="AP",$BG$5="AT",$BG$5="SP"),INDEX(INDIRECT($BG$7),$B18,BG$8)))</f>
        <v>0</v>
      </c>
      <c r="BH18" s="189" t="b">
        <f ca="1">IF(OR($BG$5="P",$BG$5="SS",$BG$5="S"),INDEX(INDIRECT($BG$6),$B18,BH$8),
IF(OR($BG$5="N",$BG$5="AP",$BG$5="AT",$BG$5="SP"),INDEX(INDIRECT($BG$7),$B18,BH$8)))</f>
        <v>0</v>
      </c>
      <c r="BI18" s="190" t="b">
        <f ca="1">IF(OR($BG$5="P",$BG$5="SS",$BG$5="S"),INDEX(INDIRECT($BG$6),$B18,BI$8),
IF(OR($BG$5="N",$BG$5="AP",$BG$5="AT",$BG$5="SP"),INDEX(INDIRECT($BG$7),$B18,BI$8)))</f>
        <v>0</v>
      </c>
      <c r="BJ18" s="191" t="b">
        <f t="shared" ca="1" si="47"/>
        <v>0</v>
      </c>
      <c r="BK18" s="190" t="b">
        <f ca="1">IF(OR($BG$5="P",$BG$5="SS",$BG$5="S"),INDEX(INDIRECT($BG$6),$B18,BK$8),
IF(OR($BG$5="N",$BG$5="AP",$BG$5="AT",$BG$5="SP"),INDEX(INDIRECT($BG$7),$B18,BK$8)))</f>
        <v>0</v>
      </c>
      <c r="BL18" s="189" t="b">
        <f t="shared" ca="1" si="67"/>
        <v>0</v>
      </c>
      <c r="BM18" s="189" t="b">
        <f t="shared" ca="1" si="67"/>
        <v>0</v>
      </c>
      <c r="BO18" s="189" t="b">
        <f ca="1">IF(OR($BO$5="P",$BO$5="SS",$BO$5="S"),INDEX(INDIRECT($BO$6),$B18,BO$8),
IF(OR($BO$5="N",$BO$5="AP",$BO$5="AT",$BO$5="SP"),INDEX(INDIRECT($BO$7),$B18,BO$8)))</f>
        <v>0</v>
      </c>
      <c r="BP18" s="189" t="b">
        <f ca="1">IF(OR($BO$5="P",$BO$5="SS",$BO$5="S"),INDEX(INDIRECT($BO$6),$B18,BP$8),
IF(OR($BO$5="N",$BO$5="AP",$BO$5="AT",$BO$5="SP"),INDEX(INDIRECT($BO$7),$B18,BP$8)))</f>
        <v>0</v>
      </c>
      <c r="BQ18" s="190" t="b">
        <f ca="1">IF(OR($BO$5="P",$BO$5="SS",$BO$5="S"),INDEX(INDIRECT($BO$6),$B18,BQ$8),
IF(OR($BO$5="N",$BO$5="AP",$BO$5="AT",$BO$5="SP"),INDEX(INDIRECT($BO$7),$B18,BQ$8)))</f>
        <v>0</v>
      </c>
      <c r="BR18" s="191" t="b">
        <f t="shared" ca="1" si="48"/>
        <v>0</v>
      </c>
      <c r="BS18" s="190" t="b">
        <f ca="1">IF(OR($BO$5="P",$BO$5="SS",$BO$5="S"),INDEX(INDIRECT($BO$6),$B18,BS$8),
IF(OR($BO$5="N",$BO$5="AP",$BO$5="AT",$BO$5="SP"),INDEX(INDIRECT($BO$7),$B18,BS$8)))</f>
        <v>0</v>
      </c>
      <c r="BT18" s="189" t="b">
        <f t="shared" ca="1" si="68"/>
        <v>0</v>
      </c>
      <c r="BU18" s="189" t="b">
        <f t="shared" ca="1" si="68"/>
        <v>0</v>
      </c>
      <c r="BV18" s="192"/>
      <c r="BW18" s="189" t="b">
        <f ca="1">IF(OR($BW$5="P",$BW$5="SS",$BW$5="S"),INDEX(INDIRECT($BW$6),$B18,BW$8),
IF(OR($BW$5="N",$BW$5="AP",$BW$5="AT",$BW$5="SP"),INDEX(INDIRECT($BW$7),$B18,BW$8)))</f>
        <v>0</v>
      </c>
      <c r="BX18" s="189" t="b">
        <f ca="1">IF(OR($BW$5="P",$BW$5="SS",$BW$5="S"),INDEX(INDIRECT($BW$6),$B18,BX$8),
IF(OR($BW$5="N",$BW$5="AP",$BW$5="AT",$BW$5="SP"),INDEX(INDIRECT($BW$7),$B18,BX$8)))</f>
        <v>0</v>
      </c>
      <c r="BY18" s="190" t="b">
        <f ca="1">IF(OR($BW$5="P",$BW$5="SS",$BW$5="S"),INDEX(INDIRECT($BW$6),$B18,BY$8),
IF(OR($BW$5="N",$BW$5="AP",$BW$5="AT",$BW$5="SP"),INDEX(INDIRECT($BW$7),$B18,BY$8)))</f>
        <v>0</v>
      </c>
      <c r="BZ18" s="191" t="b">
        <f t="shared" ca="1" si="49"/>
        <v>0</v>
      </c>
      <c r="CA18" s="190" t="b">
        <f ca="1">IF(OR($BW$5="P",$BW$5="SS",$BW$5="S"),INDEX(INDIRECT($BW$6),$B18,CA$8),
IF(OR($BW$5="N",$BW$5="AP",$BW$5="AT",$BW$5="SP"),INDEX(INDIRECT($BW$7),$B18,CA$8)))</f>
        <v>0</v>
      </c>
      <c r="CB18" s="189" t="b">
        <f t="shared" ca="1" si="69"/>
        <v>0</v>
      </c>
      <c r="CC18" s="189" t="b">
        <f t="shared" ca="1" si="69"/>
        <v>0</v>
      </c>
      <c r="CE18" s="189" t="b">
        <f ca="1">IF(OR($CE$5="P",$CE$5="SS",$CE$5="S"),INDEX(INDIRECT($CE$6),$B18,CE$8),
IF(OR($CE$5="N",$CE$5="AP",$CE$5="AT",$CE$5="SP"),INDEX(INDIRECT($CE$7),$B18,CE$8)))</f>
        <v>0</v>
      </c>
      <c r="CF18" s="189" t="b">
        <f ca="1">IF(OR($CE$5="P",$CE$5="SS",$CE$5="S"),INDEX(INDIRECT($CE$6),$B18,CF$8),
IF(OR($CE$5="N",$CE$5="AP",$CE$5="AT",$CE$5="SP"),INDEX(INDIRECT($CE$7),$B18,CF$8)))</f>
        <v>0</v>
      </c>
      <c r="CG18" s="190" t="b">
        <f ca="1">IF(OR($CE$5="P",$CE$5="SS",$CE$5="S"),INDEX(INDIRECT($CE$6),$B18,CG$8),
IF(OR($CE$5="N",$CE$5="AP",$CE$5="AT",$CE$5="SP"),INDEX(INDIRECT($CE$7),$B18,CG$8)))</f>
        <v>0</v>
      </c>
      <c r="CH18" s="191" t="b">
        <f t="shared" ca="1" si="50"/>
        <v>0</v>
      </c>
      <c r="CI18" s="190" t="b">
        <f ca="1">IF(OR($CE$5="P",$CE$5="SS",$CE$5="S"),INDEX(INDIRECT($CE$6),$B18,CI$8),
IF(OR($CE$5="N",$CE$5="AP",$CE$5="AT",$CE$5="SP"),INDEX(INDIRECT($CE$7),$B18,CI$8)))</f>
        <v>0</v>
      </c>
      <c r="CJ18" s="189" t="b">
        <f t="shared" ca="1" si="70"/>
        <v>0</v>
      </c>
      <c r="CK18" s="189" t="b">
        <f t="shared" ca="1" si="70"/>
        <v>0</v>
      </c>
      <c r="CM18" s="189" t="b">
        <f ca="1">IF(OR($CM$5="P",$CM$5="SS",$CM$5="S"),INDEX(INDIRECT($CM$6),$B18,CM$8),
IF(OR($CM$5="N",$CM$5="AP",$CM$5="AT",$CM$5="SP"),INDEX(INDIRECT($CM$7),$B18,CM$8)))</f>
        <v>0</v>
      </c>
      <c r="CN18" s="189" t="b">
        <f ca="1">IF(OR($CM$5="P",$CM$5="SS",$CM$5="S"),INDEX(INDIRECT($CM$6),$B18,CN$8),
IF(OR($CM$5="N",$CM$5="AP",$CM$5="AT",$CM$5="SP"),INDEX(INDIRECT($CM$7),$B18,CN$8)))</f>
        <v>0</v>
      </c>
      <c r="CO18" s="190" t="b">
        <f ca="1">IF(OR($CM$5="P",$CM$5="SS",$CM$5="S"),INDEX(INDIRECT($CM$6),$B18,CO$8),
IF(OR($CM$5="N",$CM$5="AP",$CM$5="AT",$CM$5="SP"),INDEX(INDIRECT($CM$7),$B18,CO$8)))</f>
        <v>0</v>
      </c>
      <c r="CP18" s="191" t="b">
        <f t="shared" ca="1" si="51"/>
        <v>0</v>
      </c>
      <c r="CQ18" s="190" t="b">
        <f ca="1">IF(OR($CM$5="P",$CM$5="SS",$CM$5="S"),INDEX(INDIRECT($CM$6),$B18,CQ$8),
IF(OR($CM$5="N",$CM$5="AP",$CM$5="AT",$CM$5="SP"),INDEX(INDIRECT($CM$7),$B18,CQ$8)))</f>
        <v>0</v>
      </c>
      <c r="CR18" s="189" t="b">
        <f t="shared" ca="1" si="71"/>
        <v>0</v>
      </c>
      <c r="CS18" s="189" t="b">
        <f t="shared" ca="1" si="71"/>
        <v>0</v>
      </c>
      <c r="CU18" s="189" t="b">
        <f ca="1">IF(OR($CU$5="P",$CU$5="SS",$CU$5="S"),INDEX(INDIRECT($CU$6),$B18,CU$8),
IF(OR($CU$5="N",$CU$5="AP",$CU$5="AT",$CU$5="SP"),INDEX(INDIRECT($CU$7),$B18,CU$8)))</f>
        <v>0</v>
      </c>
      <c r="CV18" s="189" t="b">
        <f ca="1">IF(OR($CU$5="P",$CU$5="SS",$CU$5="S"),INDEX(INDIRECT($CU$6),$B18,CV$8),
IF(OR($CU$5="N",$CU$5="AP",$CU$5="AT",$CU$5="SP"),INDEX(INDIRECT($CU$7),$B18,CV$8)))</f>
        <v>0</v>
      </c>
      <c r="CW18" s="190" t="b">
        <f ca="1">IF(OR($CU$5="P",$CU$5="SS",$CU$5="S"),INDEX(INDIRECT($CU$6),$B18,CW$8),
IF(OR($CU$5="N",$CU$5="AP",$CU$5="AT",$CU$5="SP"),INDEX(INDIRECT($CU$7),$B18,CW$8)))</f>
        <v>0</v>
      </c>
      <c r="CX18" s="191" t="b">
        <f t="shared" ca="1" si="52"/>
        <v>0</v>
      </c>
      <c r="CY18" s="190" t="b">
        <f ca="1">IF(OR($CU$5="P",$CU$5="SS",$CU$5="S"),INDEX(INDIRECT($CU$6),$B18,CY$8),
IF(OR($CU$5="N",$CU$5="AP",$CU$5="AT",$CU$5="SP"),INDEX(INDIRECT($CU$7),$B18,CY$8)))</f>
        <v>0</v>
      </c>
      <c r="CZ18" s="189" t="b">
        <f t="shared" ca="1" si="72"/>
        <v>0</v>
      </c>
      <c r="DA18" s="189" t="b">
        <f t="shared" ca="1" si="72"/>
        <v>0</v>
      </c>
      <c r="DC18" s="189" t="b">
        <f ca="1">IF(OR($DC$5="P",$DC$5="SS",$DC$5="S"),INDEX(INDIRECT($DC$6),$B18,DC$8),
IF(OR($DC$5="N",$DC$5="AP",$DC$5="AT",$DC$5="SP"),INDEX(INDIRECT($DC$7),$B18,DC$8)))</f>
        <v>0</v>
      </c>
      <c r="DD18" s="189" t="b">
        <f ca="1">IF(OR($DC$5="P",$DC$5="SS",$DC$5="S"),INDEX(INDIRECT($DC$6),$B18,DD$8),
IF(OR($DC$5="N",$DC$5="AP",$DC$5="AT",$DC$5="SP"),INDEX(INDIRECT($DC$7),$B18,DD$8)))</f>
        <v>0</v>
      </c>
      <c r="DE18" s="190" t="b">
        <f ca="1">IF(OR($DC$5="P",$DC$5="SS",$DC$5="S"),INDEX(INDIRECT($DC$6),$B18,DE$8),
IF(OR($DC$5="N",$DC$5="AP",$DC$5="AT",$DC$5="SP"),INDEX(INDIRECT($DC$7),$B18,DE$8)))</f>
        <v>0</v>
      </c>
      <c r="DF18" s="191" t="b">
        <f t="shared" ca="1" si="53"/>
        <v>0</v>
      </c>
      <c r="DG18" s="190" t="b">
        <f ca="1">IF(OR($DC$5="P",$DC$5="SS",$DC$5="S"),INDEX(INDIRECT($DC$6),$B18,DG$8),
IF(OR($DC$5="N",$DC$5="AP",$DC$5="AT",$DC$5="SP"),INDEX(INDIRECT($DC$7),$B18,DG$8)))</f>
        <v>0</v>
      </c>
      <c r="DH18" s="189" t="b">
        <f t="shared" ca="1" si="73"/>
        <v>0</v>
      </c>
      <c r="DI18" s="189" t="b">
        <f t="shared" ca="1" si="73"/>
        <v>0</v>
      </c>
      <c r="DK18" s="189" t="b">
        <f ca="1">IF(OR($DK$5="P",$DK$5="SS",$DK$5="S"),INDEX(INDIRECT($DK$6),$B18,DK$8),
IF(OR($DK$5="N",$DK$5="AP",$DK$5="AT",$DK$5="SP"),INDEX(INDIRECT($DK$7),$B18,DK$8)))</f>
        <v>0</v>
      </c>
      <c r="DL18" s="189" t="b">
        <f ca="1">IF(OR($DK$5="P",$DK$5="SS",$DK$5="S"),INDEX(INDIRECT($DK$6),$B18,DL$8),
IF(OR($DK$5="N",$DK$5="AP",$DK$5="AT",$DK$5="SP"),INDEX(INDIRECT($DK$7),$B18,DL$8)))</f>
        <v>0</v>
      </c>
      <c r="DM18" s="190" t="b">
        <f ca="1">IF(OR($DK$5="P",$DK$5="SS",$DK$5="S"),INDEX(INDIRECT($DK$6),$B18,DM$8),
IF(OR($DK$5="N",$DK$5="AP",$DK$5="AT",$DK$5="SP"),INDEX(INDIRECT($DK$7),$B18,DM$8)))</f>
        <v>0</v>
      </c>
      <c r="DN18" s="191" t="b">
        <f t="shared" ca="1" si="54"/>
        <v>0</v>
      </c>
      <c r="DO18" s="190" t="b">
        <f ca="1">IF(OR($DK$5="P",$DK$5="SS",$DK$5="S"),INDEX(INDIRECT($DK$6),$B18,DO$8),
IF(OR($DK$5="N",$DK$5="AP",$DK$5="AT",$DK$5="SP"),INDEX(INDIRECT($DK$7),$B18,DO$8)))</f>
        <v>0</v>
      </c>
      <c r="DP18" s="189" t="b">
        <f t="shared" ca="1" si="74"/>
        <v>0</v>
      </c>
      <c r="DQ18" s="189" t="b">
        <f t="shared" ca="1" si="74"/>
        <v>0</v>
      </c>
      <c r="DS18" s="189" t="b">
        <f ca="1">IF(OR($DS$5="P",$DS$5="SS",$DS$5="S"),INDEX(INDIRECT($DS$6),$B18,DS$8),
IF(OR($DS$5="N",$DS$5="AP",$DS$5="AT",$DS$5="SP"),INDEX(INDIRECT($DS$7),$B18,DS$8)))</f>
        <v>0</v>
      </c>
      <c r="DT18" s="189" t="b">
        <f ca="1">IF(OR($DS$5="P",$DS$5="SS",$DS$5="S"),INDEX(INDIRECT($DS$6),$B18,DT$8),
IF(OR($DS$5="N",$DS$5="AP",$DS$5="AT",$DS$5="SP"),INDEX(INDIRECT($DS$7),$B18,DT$8)))</f>
        <v>0</v>
      </c>
      <c r="DU18" s="190" t="b">
        <f ca="1">IF(OR($DS$5="P",$DS$5="SS",$DS$5="S"),INDEX(INDIRECT($DS$6),$B18,DU$8),
IF(OR($DS$5="N",$DS$5="AP",$DS$5="AT",$DS$5="SP"),INDEX(INDIRECT($DS$7),$B18,DU$8)))</f>
        <v>0</v>
      </c>
      <c r="DV18" s="191" t="b">
        <f t="shared" ca="1" si="55"/>
        <v>0</v>
      </c>
      <c r="DW18" s="190" t="b">
        <f ca="1">IF(OR($DS$5="P",$DS$5="SS",$DS$5="S"),INDEX(INDIRECT($DS$6),$B18,DW$8),
IF(OR($DS$5="N",$DS$5="AP",$DS$5="AT",$DS$5="SP"),INDEX(INDIRECT($DS$7),$B18,DW$8)))</f>
        <v>0</v>
      </c>
      <c r="DX18" s="189" t="b">
        <f t="shared" ca="1" si="75"/>
        <v>0</v>
      </c>
      <c r="DY18" s="189" t="b">
        <f t="shared" ca="1" si="75"/>
        <v>0</v>
      </c>
      <c r="EA18" s="189" t="b">
        <f ca="1">IF(OR($EA$5="P",$EA$5="SS",$EA$5="S"),INDEX(INDIRECT($EA$6),$B18,EA$8),
IF(OR($EA$5="N",$EA$5="AP",$EA$5="AT",$EA$5="SP"),INDEX(INDIRECT($EA$7),$B18,EA$8)))</f>
        <v>0</v>
      </c>
      <c r="EB18" s="189" t="b">
        <f ca="1">IF(OR($EA$5="P",$EA$5="SS",$EA$5="S"),INDEX(INDIRECT($EA$6),$B18,EB$8),
IF(OR($EA$5="N",$EA$5="AP",$EA$5="AT",$EA$5="SP"),INDEX(INDIRECT($EA$7),$B18,EB$8)))</f>
        <v>0</v>
      </c>
      <c r="EC18" s="190" t="b">
        <f ca="1">IF(OR($EA$5="P",$EA$5="SS",$EA$5="S"),INDEX(INDIRECT($EA$6),$B18,EC$8),
IF(OR($EA$5="N",$EA$5="AP",$EA$5="AT",$EA$5="SP"),INDEX(INDIRECT($EA$7),$B18,EC$8)))</f>
        <v>0</v>
      </c>
      <c r="ED18" s="191" t="b">
        <f t="shared" ca="1" si="56"/>
        <v>0</v>
      </c>
      <c r="EE18" s="190" t="b">
        <f ca="1">IF(OR($EA$5="P",$EA$5="SS",$EA$5="S"),INDEX(INDIRECT($EA$6),$B18,EE$8),
IF(OR($EA$5="N",$EA$5="AP",$EA$5="AT",$EA$5="SP"),INDEX(INDIRECT($EA$7),$B18,EE$8)))</f>
        <v>0</v>
      </c>
      <c r="EF18" s="189" t="b">
        <f t="shared" ca="1" si="76"/>
        <v>0</v>
      </c>
      <c r="EG18" s="189" t="b">
        <f t="shared" ca="1" si="76"/>
        <v>0</v>
      </c>
      <c r="EI18" s="189" t="b">
        <f ca="1">IF(OR($EI$5="P",$EI$5="SS",$EI$5="S"),INDEX(INDIRECT($EI$6),$B18,EI$8),
IF(OR($EI$5="N",$EI$5="AP",$EI$5="AT",$EI$5="SP"),INDEX(INDIRECT($EI$7),$B18,EI$8)))</f>
        <v>0</v>
      </c>
      <c r="EJ18" s="189" t="b">
        <f ca="1">IF(OR($EI$5="P",$EI$5="SS",$EI$5="S"),INDEX(INDIRECT($EI$6),$B18,EJ$8),
IF(OR($EI$5="N",$EI$5="AP",$EI$5="AT",$EI$5="SP"),INDEX(INDIRECT($EI$7),$B18,EJ$8)))</f>
        <v>0</v>
      </c>
      <c r="EK18" s="190" t="b">
        <f ca="1">IF(OR($EI$5="P",$EI$5="SS",$EI$5="S"),INDEX(INDIRECT($EI$6),$B18,EK$8),
IF(OR($EI$5="N",$EI$5="AP",$EI$5="AT",$EI$5="SP"),INDEX(INDIRECT($EI$7),$B18,EK$8)))</f>
        <v>0</v>
      </c>
      <c r="EL18" s="191" t="b">
        <f t="shared" ca="1" si="57"/>
        <v>0</v>
      </c>
      <c r="EM18" s="190" t="b">
        <f ca="1">IF(OR($EI$5="P",$EI$5="SS",$EI$5="S"),INDEX(INDIRECT($EI$6),$B18,EM$8),
IF(OR($EI$5="N",$EI$5="AP",$EI$5="AT",$EI$5="SP"),INDEX(INDIRECT($EI$7),$B18,EM$8)))</f>
        <v>0</v>
      </c>
      <c r="EN18" s="189" t="b">
        <f t="shared" ca="1" si="77"/>
        <v>0</v>
      </c>
      <c r="EO18" s="189" t="b">
        <f t="shared" ca="1" si="77"/>
        <v>0</v>
      </c>
      <c r="EQ18" s="189" t="b">
        <f ca="1">IF(OR($EQ$5="P",$EQ$5="SS",$EQ$5="S"),INDEX(INDIRECT($EQ$6),$B18,EQ$8),
IF(OR($EQ$5="N",$EQ$5="AP",$EQ$5="AT",$EQ$5="SP"),INDEX(INDIRECT($EQ$7),$B18,EQ$8)))</f>
        <v>0</v>
      </c>
      <c r="ER18" s="189" t="b">
        <f ca="1">IF(OR($EQ$5="P",$EQ$5="SS",$EQ$5="S"),INDEX(INDIRECT($EQ$6),$B18,ER$8),
IF(OR($EQ$5="N",$EQ$5="AP",$EQ$5="AT",$EQ$5="SP"),INDEX(INDIRECT($EQ$7),$B18,ER$8)))</f>
        <v>0</v>
      </c>
      <c r="ES18" s="190" t="b">
        <f ca="1">IF(OR($EQ$5="P",$EQ$5="SS",$EQ$5="S"),INDEX(INDIRECT($EQ$6),$B18,ES$8),
IF(OR($EQ$5="N",$EQ$5="AP",$EQ$5="AT",$EQ$5="SP"),INDEX(INDIRECT($EQ$7),$B18,ES$8)))</f>
        <v>0</v>
      </c>
      <c r="ET18" s="191" t="b">
        <f t="shared" ca="1" si="58"/>
        <v>0</v>
      </c>
      <c r="EU18" s="190" t="b">
        <f ca="1">IF(OR($EQ$5="P",$EQ$5="SS",$EQ$5="S"),INDEX(INDIRECT($EQ$6),$B18,EU$8),
IF(OR($EQ$5="N",$EQ$5="AP",$EQ$5="AT",$EQ$5="SP"),INDEX(INDIRECT($EQ$7),$B18,EU$8)))</f>
        <v>0</v>
      </c>
      <c r="EV18" s="189" t="b">
        <f t="shared" ca="1" si="78"/>
        <v>0</v>
      </c>
      <c r="EW18" s="189" t="b">
        <f t="shared" ca="1" si="78"/>
        <v>0</v>
      </c>
      <c r="EY18" s="189" t="b">
        <f ca="1">IF(OR($EY$5="P",$EY$5="SS",$EY$5="S"),INDEX(INDIRECT($EY$6),$B18,EY$8),
IF(OR($EY$5="N",$EY$5="AP",$EY$5="AT",$EY$5="SP"),INDEX(INDIRECT($EY$7),$B18,EY$8)))</f>
        <v>0</v>
      </c>
      <c r="EZ18" s="189" t="b">
        <f ca="1">IF(OR($EY$5="P",$EY$5="SS",$EY$5="S"),INDEX(INDIRECT($EY$6),$B18,EZ$8),
IF(OR($EY$5="N",$EY$5="AP",$EY$5="AT",$EY$5="SP"),INDEX(INDIRECT($EY$7),$B18,EZ$8)))</f>
        <v>0</v>
      </c>
      <c r="FA18" s="190" t="b">
        <f ca="1">IF(OR($EY$5="P",$EY$5="SS",$EY$5="S"),INDEX(INDIRECT($EY$6),$B18,FA$8),
IF(OR($EY$5="N",$EY$5="AP",$EY$5="AT",$EY$5="SP"),INDEX(INDIRECT($EY$7),$B18,FA$8)))</f>
        <v>0</v>
      </c>
      <c r="FB18" s="191" t="b">
        <f t="shared" ca="1" si="59"/>
        <v>0</v>
      </c>
      <c r="FC18" s="190" t="b">
        <f ca="1">IF(OR($EY$5="P",$EY$5="SS",$EY$5="S"),INDEX(INDIRECT($EY$6),$B18,FC$8),
IF(OR($EY$5="N",$EY$5="AP",$EY$5="AT",$EY$5="SP"),INDEX(INDIRECT($EY$7),$B18,FC$8)))</f>
        <v>0</v>
      </c>
      <c r="FD18" s="189" t="b">
        <f t="shared" ca="1" si="79"/>
        <v>0</v>
      </c>
      <c r="FE18" s="189" t="b">
        <f t="shared" ca="1" si="79"/>
        <v>0</v>
      </c>
    </row>
    <row r="19" spans="1:161" x14ac:dyDescent="0.2">
      <c r="A19" s="183" t="s">
        <v>14</v>
      </c>
      <c r="B19" s="183">
        <v>11</v>
      </c>
      <c r="C19" s="189">
        <f ca="1">IF(OR($C$5="P",$C$5="SS",$C$5="S"),INDEX(INDIRECT($C$6),$B19,C$8),
IF(OR($C$5="N",$C$5="AP",$C$5="AT",$C$5="SP"),INDEX(INDIRECT($C$7),$B19,C$8)))</f>
        <v>8.5</v>
      </c>
      <c r="D19" s="189">
        <f ca="1">IF(OR($C$5="P",$C$5="SS",$C$5="S"),INDEX(INDIRECT($C$6),$B19,D$8),
IF(OR($C$5="N",$C$5="AP",$C$5="AT",$C$5="SP"),INDEX(INDIRECT($C$7),$B19,D$8)))</f>
        <v>9</v>
      </c>
      <c r="E19" s="190">
        <f ca="1">IF(OR($C$5="P",$C$5="SS",$C$5="S"),INDEX(INDIRECT($C$6),$B19,E$8),
IF(OR($C$5="N",$C$5="AP",$C$5="AT",$C$5="SP"),INDEX(INDIRECT($C$7),$B19,E$8)))</f>
        <v>9.5</v>
      </c>
      <c r="F19" s="191">
        <f t="shared" ca="1" si="40"/>
        <v>10</v>
      </c>
      <c r="G19" s="190">
        <f ca="1">IF(OR($C$5="P",$C$5="SS",$C$5="S"),INDEX(INDIRECT($C$6),$B19,G$8),
IF(OR($C$5="N",$C$5="AP",$C$5="AT",$C$5="SP"),INDEX(INDIRECT($C$7),$B19,G$8)))</f>
        <v>10</v>
      </c>
      <c r="H19" s="189">
        <f t="shared" ca="1" si="60"/>
        <v>11</v>
      </c>
      <c r="I19" s="189">
        <f t="shared" ca="1" si="60"/>
        <v>11.5</v>
      </c>
      <c r="K19" s="189" t="b">
        <f ca="1">IF(OR($K$5="P",$K$5="SS",$K$5="S"),INDEX(INDIRECT($K$6),$B19,K$8),
IF(OR($K$5="N",$K$5="AP",$K$5="AT",$K$5="SP"),INDEX(INDIRECT($K$7),$B19,K$8)))</f>
        <v>0</v>
      </c>
      <c r="L19" s="189" t="b">
        <f ca="1">IF(OR($K$5="P",$K$5="SS",$K$5="S"),INDEX(INDIRECT($K$6),$B19,L$8),
IF(OR($K$5="N",$K$5="AP",$K$5="AT",$K$5="SP"),INDEX(INDIRECT($K$7),$B19,L$8)))</f>
        <v>0</v>
      </c>
      <c r="M19" s="190" t="b">
        <f ca="1">IF(OR($K$5="P",$K$5="SS",$K$5="S"),INDEX(INDIRECT($K$6),$B19,M$8),
IF(OR($K$5="N",$K$5="AP",$K$5="AT",$K$5="SP"),INDEX(INDIRECT($K$7),$B19,M$8)))</f>
        <v>0</v>
      </c>
      <c r="N19" s="191" t="b">
        <f t="shared" ca="1" si="41"/>
        <v>0</v>
      </c>
      <c r="O19" s="190" t="b">
        <f ca="1">IF(OR($K$5="P",$K$5="SS",$K$5="S"),INDEX(INDIRECT($K$6),$B19,O$8),
IF(OR($K$5="N",$K$5="AP",$K$5="AT",$K$5="SP"),INDEX(INDIRECT($K$7),$B19,O$8)))</f>
        <v>0</v>
      </c>
      <c r="P19" s="189" t="b">
        <f t="shared" ca="1" si="61"/>
        <v>0</v>
      </c>
      <c r="Q19" s="189" t="b">
        <f t="shared" ca="1" si="61"/>
        <v>0</v>
      </c>
      <c r="S19" s="189" t="b">
        <f ca="1">IF(OR($S$5="P",$S$5="SS",$S$5="S"),INDEX(INDIRECT($S$6),$B19,S$8),
IF(OR($S$5="N",$S$5="AP",$S$5="AT",$S$5="SP"),INDEX(INDIRECT($S$7),$B19,S$8)))</f>
        <v>0</v>
      </c>
      <c r="T19" s="189" t="b">
        <f ca="1">IF(OR($S$5="P",$S$5="SS",$S$5="S"),INDEX(INDIRECT($S$6),$B19,T$8),
IF(OR($S$5="N",$S$5="AP",$S$5="AT",$S$5="SP"),INDEX(INDIRECT($S$7),$B19,T$8)))</f>
        <v>0</v>
      </c>
      <c r="U19" s="190" t="b">
        <f ca="1">IF(OR($S$5="P",$S$5="SS",$S$5="S"),INDEX(INDIRECT($S$6),$B19,U$8),
IF(OR($S$5="N",$S$5="AP",$S$5="AT",$S$5="SP"),INDEX(INDIRECT($S$7),$B19,U$8)))</f>
        <v>0</v>
      </c>
      <c r="V19" s="191" t="b">
        <f t="shared" ca="1" si="42"/>
        <v>0</v>
      </c>
      <c r="W19" s="190" t="b">
        <f ca="1">IF(OR($S$5="P",$S$5="SS",$S$5="S"),INDEX(INDIRECT($S$6),$B19,W$8),
IF(OR($S$5="N",$S$5="AP",$S$5="AT",$S$5="SP"),INDEX(INDIRECT($S$7),$B19,W$8)))</f>
        <v>0</v>
      </c>
      <c r="X19" s="189" t="b">
        <f t="shared" ca="1" si="62"/>
        <v>0</v>
      </c>
      <c r="Y19" s="189" t="b">
        <f t="shared" ca="1" si="62"/>
        <v>0</v>
      </c>
      <c r="AA19" s="189" t="b">
        <f ca="1">IF(OR($AA$5="P",$AA$5="SS",$AA$5="S"),INDEX(INDIRECT($AA$6),$B19,AA$8),
IF(OR($AA$5="N",$AA$5="AP",$AA$5="AT",$AA$5="SP"),INDEX(INDIRECT($AA$7),$B19,AA$8)))</f>
        <v>0</v>
      </c>
      <c r="AB19" s="189" t="b">
        <f ca="1">IF(OR($AA$5="P",$AA$5="SS",$AA$5="S"),INDEX(INDIRECT($AA$6),$B19,AB$8),
IF(OR($AA$5="N",$AA$5="AP",$AA$5="AT",$AA$5="SP"),INDEX(INDIRECT($AA$7),$B19,AB$8)))</f>
        <v>0</v>
      </c>
      <c r="AC19" s="190" t="b">
        <f ca="1">IF(OR($AA$5="P",$AA$5="SS",$AA$5="S"),INDEX(INDIRECT($AA$6),$B19,AC$8),
IF(OR($AA$5="N",$AA$5="AP",$AA$5="AT",$AA$5="SP"),INDEX(INDIRECT($AA$7),$B19,AC$8)))</f>
        <v>0</v>
      </c>
      <c r="AD19" s="191" t="b">
        <f t="shared" ca="1" si="43"/>
        <v>0</v>
      </c>
      <c r="AE19" s="190" t="b">
        <f ca="1">IF(OR($AA$5="P",$AA$5="SS",$AA$5="S"),INDEX(INDIRECT($AA$6),$B19,AE$8),
IF(OR($AA$5="N",$AA$5="AP",$AA$5="AT",$AA$5="SP"),INDEX(INDIRECT($AA$7),$B19,AE$8)))</f>
        <v>0</v>
      </c>
      <c r="AF19" s="189" t="b">
        <f t="shared" ca="1" si="63"/>
        <v>0</v>
      </c>
      <c r="AG19" s="189" t="b">
        <f t="shared" ca="1" si="63"/>
        <v>0</v>
      </c>
      <c r="AI19" s="189" t="b">
        <f ca="1">IF(OR($AI$5="P",$AI$5="SS",$AI$5="S"),INDEX(INDIRECT($AI$6),$B19,AI$8),
IF(OR($AI$5="N",$AI$5="AP",$AI$5="AT",$AI$5="SP"),INDEX(INDIRECT($AI$7),$B19,AI$8)))</f>
        <v>0</v>
      </c>
      <c r="AJ19" s="189" t="b">
        <f ca="1">IF(OR($AI$5="P",$AI$5="SS",$AI$5="S"),INDEX(INDIRECT($AI$6),$B19,AJ$8),
IF(OR($AI$5="N",$AI$5="AP",$AI$5="AT",$AI$5="SP"),INDEX(INDIRECT($AI$7),$B19,AJ$8)))</f>
        <v>0</v>
      </c>
      <c r="AK19" s="190" t="b">
        <f ca="1">IF(OR($AI$5="P",$AI$5="SS",$AI$5="S"),INDEX(INDIRECT($AI$6),$B19,AK$8),
IF(OR($AI$5="N",$AI$5="AP",$AI$5="AT",$AI$5="SP"),INDEX(INDIRECT($AI$7),$B19,AK$8)))</f>
        <v>0</v>
      </c>
      <c r="AL19" s="191" t="b">
        <f t="shared" ca="1" si="44"/>
        <v>0</v>
      </c>
      <c r="AM19" s="190" t="b">
        <f ca="1">IF(OR($AI$5="P",$AI$5="SS",$AI$5="S"),INDEX(INDIRECT($AI$6),$B19,AM$8),
IF(OR($AI$5="N",$AI$5="AP",$AI$5="AT",$AI$5="SP"),INDEX(INDIRECT($AI$7),$B19,AM$8)))</f>
        <v>0</v>
      </c>
      <c r="AN19" s="189" t="b">
        <f t="shared" ca="1" si="64"/>
        <v>0</v>
      </c>
      <c r="AO19" s="189" t="b">
        <f t="shared" ca="1" si="64"/>
        <v>0</v>
      </c>
      <c r="AQ19" s="189" t="b">
        <f ca="1">IF(OR($AQ$5="P",$AQ$5="SS",$AQ$5="S"),INDEX(INDIRECT($AQ$6),$B19,AQ$8),
IF(OR($AQ$5="N",$AQ$5="AP",$AQ$5="AT",$AQ$5="SP"),INDEX(INDIRECT($AQ$7),$B19,AQ$8)))</f>
        <v>0</v>
      </c>
      <c r="AR19" s="189" t="b">
        <f ca="1">IF(OR($AQ$5="P",$AQ$5="SS",$AQ$5="S"),INDEX(INDIRECT($AQ$6),$B19,AR$8),
IF(OR($AQ$5="N",$AQ$5="AP",$AQ$5="AT",$AQ$5="SP"),INDEX(INDIRECT($AQ$7),$B19,AR$8)))</f>
        <v>0</v>
      </c>
      <c r="AS19" s="190" t="b">
        <f ca="1">IF(OR($AQ$5="P",$AQ$5="SS",$AQ$5="S"),INDEX(INDIRECT($AQ$6),$B19,AS$8),
IF(OR($AQ$5="N",$AQ$5="AP",$AQ$5="AT",$AQ$5="SP"),INDEX(INDIRECT($AQ$7),$B19,AS$8)))</f>
        <v>0</v>
      </c>
      <c r="AT19" s="191" t="b">
        <f t="shared" ca="1" si="45"/>
        <v>0</v>
      </c>
      <c r="AU19" s="190" t="b">
        <f ca="1">IF(OR($AQ$5="P",$AQ$5="SS",$AQ$5="S"),INDEX(INDIRECT($AQ$6),$B19,AU$8),
IF(OR($AQ$5="N",$AQ$5="AP",$AQ$5="AT",$AQ$5="SP"),INDEX(INDIRECT($AQ$7),$B19,AU$8)))</f>
        <v>0</v>
      </c>
      <c r="AV19" s="189" t="b">
        <f t="shared" ca="1" si="65"/>
        <v>0</v>
      </c>
      <c r="AW19" s="189" t="b">
        <f t="shared" ca="1" si="65"/>
        <v>0</v>
      </c>
      <c r="AY19" s="189" t="b">
        <f ca="1">IF(OR($AY$5="P",$AY$5="SS",$AY$5="S"),INDEX(INDIRECT($AY$6),$B19,AY$8),
IF(OR($AY$5="N",$AY$5="AP",$AY$5="AT",$AY$5="SP"),INDEX(INDIRECT($AY$7),$B19,AY$8)))</f>
        <v>0</v>
      </c>
      <c r="AZ19" s="189" t="b">
        <f ca="1">IF(OR($AY$5="P",$AY$5="SS",$AY$5="S"),INDEX(INDIRECT($AY$6),$B19,AZ$8),
IF(OR($AY$5="N",$AY$5="AP",$AY$5="AT",$AY$5="SP"),INDEX(INDIRECT($AY$7),$B19,AZ$8)))</f>
        <v>0</v>
      </c>
      <c r="BA19" s="190" t="b">
        <f ca="1">IF(OR($AY$5="P",$AY$5="SS",$AY$5="S"),INDEX(INDIRECT($AY$6),$B19,BA$8),
IF(OR($AY$5="N",$AY$5="AP",$AY$5="AT",$AY$5="SP"),INDEX(INDIRECT($AY$7),$B19,BA$8)))</f>
        <v>0</v>
      </c>
      <c r="BB19" s="191" t="b">
        <f t="shared" ca="1" si="46"/>
        <v>0</v>
      </c>
      <c r="BC19" s="190" t="b">
        <f ca="1">IF(OR($AY$5="P",$AY$5="SS",$AY$5="S"),INDEX(INDIRECT($AY$6),$B19,BC$8),
IF(OR($AY$5="N",$AY$5="AP",$AY$5="AT",$AY$5="SP"),INDEX(INDIRECT($AY$7),$B19,BC$8)))</f>
        <v>0</v>
      </c>
      <c r="BD19" s="189" t="b">
        <f t="shared" ca="1" si="66"/>
        <v>0</v>
      </c>
      <c r="BE19" s="189" t="b">
        <f t="shared" ca="1" si="66"/>
        <v>0</v>
      </c>
      <c r="BG19" s="189" t="b">
        <f ca="1">IF(OR($BG$5="P",$BG$5="SS",$BG$5="S"),INDEX(INDIRECT($BG$6),$B19,BG$8),
IF(OR($BG$5="N",$BG$5="AP",$BG$5="AT",$BG$5="SP"),INDEX(INDIRECT($BG$7),$B19,BG$8)))</f>
        <v>0</v>
      </c>
      <c r="BH19" s="189" t="b">
        <f ca="1">IF(OR($BG$5="P",$BG$5="SS",$BG$5="S"),INDEX(INDIRECT($BG$6),$B19,BH$8),
IF(OR($BG$5="N",$BG$5="AP",$BG$5="AT",$BG$5="SP"),INDEX(INDIRECT($BG$7),$B19,BH$8)))</f>
        <v>0</v>
      </c>
      <c r="BI19" s="190" t="b">
        <f ca="1">IF(OR($BG$5="P",$BG$5="SS",$BG$5="S"),INDEX(INDIRECT($BG$6),$B19,BI$8),
IF(OR($BG$5="N",$BG$5="AP",$BG$5="AT",$BG$5="SP"),INDEX(INDIRECT($BG$7),$B19,BI$8)))</f>
        <v>0</v>
      </c>
      <c r="BJ19" s="191" t="b">
        <f t="shared" ca="1" si="47"/>
        <v>0</v>
      </c>
      <c r="BK19" s="190" t="b">
        <f ca="1">IF(OR($BG$5="P",$BG$5="SS",$BG$5="S"),INDEX(INDIRECT($BG$6),$B19,BK$8),
IF(OR($BG$5="N",$BG$5="AP",$BG$5="AT",$BG$5="SP"),INDEX(INDIRECT($BG$7),$B19,BK$8)))</f>
        <v>0</v>
      </c>
      <c r="BL19" s="189" t="b">
        <f t="shared" ca="1" si="67"/>
        <v>0</v>
      </c>
      <c r="BM19" s="189" t="b">
        <f t="shared" ca="1" si="67"/>
        <v>0</v>
      </c>
      <c r="BO19" s="189" t="b">
        <f ca="1">IF(OR($BO$5="P",$BO$5="SS",$BO$5="S"),INDEX(INDIRECT($BO$6),$B19,BO$8),
IF(OR($BO$5="N",$BO$5="AP",$BO$5="AT",$BO$5="SP"),INDEX(INDIRECT($BO$7),$B19,BO$8)))</f>
        <v>0</v>
      </c>
      <c r="BP19" s="189" t="b">
        <f ca="1">IF(OR($BO$5="P",$BO$5="SS",$BO$5="S"),INDEX(INDIRECT($BO$6),$B19,BP$8),
IF(OR($BO$5="N",$BO$5="AP",$BO$5="AT",$BO$5="SP"),INDEX(INDIRECT($BO$7),$B19,BP$8)))</f>
        <v>0</v>
      </c>
      <c r="BQ19" s="190" t="b">
        <f ca="1">IF(OR($BO$5="P",$BO$5="SS",$BO$5="S"),INDEX(INDIRECT($BO$6),$B19,BQ$8),
IF(OR($BO$5="N",$BO$5="AP",$BO$5="AT",$BO$5="SP"),INDEX(INDIRECT($BO$7),$B19,BQ$8)))</f>
        <v>0</v>
      </c>
      <c r="BR19" s="191" t="b">
        <f t="shared" ca="1" si="48"/>
        <v>0</v>
      </c>
      <c r="BS19" s="190" t="b">
        <f ca="1">IF(OR($BO$5="P",$BO$5="SS",$BO$5="S"),INDEX(INDIRECT($BO$6),$B19,BS$8),
IF(OR($BO$5="N",$BO$5="AP",$BO$5="AT",$BO$5="SP"),INDEX(INDIRECT($BO$7),$B19,BS$8)))</f>
        <v>0</v>
      </c>
      <c r="BT19" s="189" t="b">
        <f t="shared" ca="1" si="68"/>
        <v>0</v>
      </c>
      <c r="BU19" s="189" t="b">
        <f t="shared" ca="1" si="68"/>
        <v>0</v>
      </c>
      <c r="BV19" s="192"/>
      <c r="BW19" s="189" t="b">
        <f ca="1">IF(OR($BW$5="P",$BW$5="SS",$BW$5="S"),INDEX(INDIRECT($BW$6),$B19,BW$8),
IF(OR($BW$5="N",$BW$5="AP",$BW$5="AT",$BW$5="SP"),INDEX(INDIRECT($BW$7),$B19,BW$8)))</f>
        <v>0</v>
      </c>
      <c r="BX19" s="189" t="b">
        <f ca="1">IF(OR($BW$5="P",$BW$5="SS",$BW$5="S"),INDEX(INDIRECT($BW$6),$B19,BX$8),
IF(OR($BW$5="N",$BW$5="AP",$BW$5="AT",$BW$5="SP"),INDEX(INDIRECT($BW$7),$B19,BX$8)))</f>
        <v>0</v>
      </c>
      <c r="BY19" s="190" t="b">
        <f ca="1">IF(OR($BW$5="P",$BW$5="SS",$BW$5="S"),INDEX(INDIRECT($BW$6),$B19,BY$8),
IF(OR($BW$5="N",$BW$5="AP",$BW$5="AT",$BW$5="SP"),INDEX(INDIRECT($BW$7),$B19,BY$8)))</f>
        <v>0</v>
      </c>
      <c r="BZ19" s="191" t="b">
        <f t="shared" ca="1" si="49"/>
        <v>0</v>
      </c>
      <c r="CA19" s="190" t="b">
        <f ca="1">IF(OR($BW$5="P",$BW$5="SS",$BW$5="S"),INDEX(INDIRECT($BW$6),$B19,CA$8),
IF(OR($BW$5="N",$BW$5="AP",$BW$5="AT",$BW$5="SP"),INDEX(INDIRECT($BW$7),$B19,CA$8)))</f>
        <v>0</v>
      </c>
      <c r="CB19" s="189" t="b">
        <f t="shared" ca="1" si="69"/>
        <v>0</v>
      </c>
      <c r="CC19" s="189" t="b">
        <f t="shared" ca="1" si="69"/>
        <v>0</v>
      </c>
      <c r="CE19" s="189" t="b">
        <f ca="1">IF(OR($CE$5="P",$CE$5="SS",$CE$5="S"),INDEX(INDIRECT($CE$6),$B19,CE$8),
IF(OR($CE$5="N",$CE$5="AP",$CE$5="AT",$CE$5="SP"),INDEX(INDIRECT($CE$7),$B19,CE$8)))</f>
        <v>0</v>
      </c>
      <c r="CF19" s="189" t="b">
        <f ca="1">IF(OR($CE$5="P",$CE$5="SS",$CE$5="S"),INDEX(INDIRECT($CE$6),$B19,CF$8),
IF(OR($CE$5="N",$CE$5="AP",$CE$5="AT",$CE$5="SP"),INDEX(INDIRECT($CE$7),$B19,CF$8)))</f>
        <v>0</v>
      </c>
      <c r="CG19" s="190" t="b">
        <f ca="1">IF(OR($CE$5="P",$CE$5="SS",$CE$5="S"),INDEX(INDIRECT($CE$6),$B19,CG$8),
IF(OR($CE$5="N",$CE$5="AP",$CE$5="AT",$CE$5="SP"),INDEX(INDIRECT($CE$7),$B19,CG$8)))</f>
        <v>0</v>
      </c>
      <c r="CH19" s="191" t="b">
        <f t="shared" ca="1" si="50"/>
        <v>0</v>
      </c>
      <c r="CI19" s="190" t="b">
        <f ca="1">IF(OR($CE$5="P",$CE$5="SS",$CE$5="S"),INDEX(INDIRECT($CE$6),$B19,CI$8),
IF(OR($CE$5="N",$CE$5="AP",$CE$5="AT",$CE$5="SP"),INDEX(INDIRECT($CE$7),$B19,CI$8)))</f>
        <v>0</v>
      </c>
      <c r="CJ19" s="189" t="b">
        <f t="shared" ca="1" si="70"/>
        <v>0</v>
      </c>
      <c r="CK19" s="189" t="b">
        <f t="shared" ca="1" si="70"/>
        <v>0</v>
      </c>
      <c r="CM19" s="189" t="b">
        <f ca="1">IF(OR($CM$5="P",$CM$5="SS",$CM$5="S"),INDEX(INDIRECT($CM$6),$B19,CM$8),
IF(OR($CM$5="N",$CM$5="AP",$CM$5="AT",$CM$5="SP"),INDEX(INDIRECT($CM$7),$B19,CM$8)))</f>
        <v>0</v>
      </c>
      <c r="CN19" s="189" t="b">
        <f ca="1">IF(OR($CM$5="P",$CM$5="SS",$CM$5="S"),INDEX(INDIRECT($CM$6),$B19,CN$8),
IF(OR($CM$5="N",$CM$5="AP",$CM$5="AT",$CM$5="SP"),INDEX(INDIRECT($CM$7),$B19,CN$8)))</f>
        <v>0</v>
      </c>
      <c r="CO19" s="190" t="b">
        <f ca="1">IF(OR($CM$5="P",$CM$5="SS",$CM$5="S"),INDEX(INDIRECT($CM$6),$B19,CO$8),
IF(OR($CM$5="N",$CM$5="AP",$CM$5="AT",$CM$5="SP"),INDEX(INDIRECT($CM$7),$B19,CO$8)))</f>
        <v>0</v>
      </c>
      <c r="CP19" s="191" t="b">
        <f t="shared" ca="1" si="51"/>
        <v>0</v>
      </c>
      <c r="CQ19" s="190" t="b">
        <f ca="1">IF(OR($CM$5="P",$CM$5="SS",$CM$5="S"),INDEX(INDIRECT($CM$6),$B19,CQ$8),
IF(OR($CM$5="N",$CM$5="AP",$CM$5="AT",$CM$5="SP"),INDEX(INDIRECT($CM$7),$B19,CQ$8)))</f>
        <v>0</v>
      </c>
      <c r="CR19" s="189" t="b">
        <f t="shared" ca="1" si="71"/>
        <v>0</v>
      </c>
      <c r="CS19" s="189" t="b">
        <f t="shared" ca="1" si="71"/>
        <v>0</v>
      </c>
      <c r="CU19" s="189" t="b">
        <f ca="1">IF(OR($CU$5="P",$CU$5="SS",$CU$5="S"),INDEX(INDIRECT($CU$6),$B19,CU$8),
IF(OR($CU$5="N",$CU$5="AP",$CU$5="AT",$CU$5="SP"),INDEX(INDIRECT($CU$7),$B19,CU$8)))</f>
        <v>0</v>
      </c>
      <c r="CV19" s="189" t="b">
        <f ca="1">IF(OR($CU$5="P",$CU$5="SS",$CU$5="S"),INDEX(INDIRECT($CU$6),$B19,CV$8),
IF(OR($CU$5="N",$CU$5="AP",$CU$5="AT",$CU$5="SP"),INDEX(INDIRECT($CU$7),$B19,CV$8)))</f>
        <v>0</v>
      </c>
      <c r="CW19" s="190" t="b">
        <f ca="1">IF(OR($CU$5="P",$CU$5="SS",$CU$5="S"),INDEX(INDIRECT($CU$6),$B19,CW$8),
IF(OR($CU$5="N",$CU$5="AP",$CU$5="AT",$CU$5="SP"),INDEX(INDIRECT($CU$7),$B19,CW$8)))</f>
        <v>0</v>
      </c>
      <c r="CX19" s="191" t="b">
        <f t="shared" ca="1" si="52"/>
        <v>0</v>
      </c>
      <c r="CY19" s="190" t="b">
        <f ca="1">IF(OR($CU$5="P",$CU$5="SS",$CU$5="S"),INDEX(INDIRECT($CU$6),$B19,CY$8),
IF(OR($CU$5="N",$CU$5="AP",$CU$5="AT",$CU$5="SP"),INDEX(INDIRECT($CU$7),$B19,CY$8)))</f>
        <v>0</v>
      </c>
      <c r="CZ19" s="189" t="b">
        <f t="shared" ca="1" si="72"/>
        <v>0</v>
      </c>
      <c r="DA19" s="189" t="b">
        <f t="shared" ca="1" si="72"/>
        <v>0</v>
      </c>
      <c r="DC19" s="189" t="b">
        <f ca="1">IF(OR($DC$5="P",$DC$5="SS",$DC$5="S"),INDEX(INDIRECT($DC$6),$B19,DC$8),
IF(OR($DC$5="N",$DC$5="AP",$DC$5="AT",$DC$5="SP"),INDEX(INDIRECT($DC$7),$B19,DC$8)))</f>
        <v>0</v>
      </c>
      <c r="DD19" s="189" t="b">
        <f ca="1">IF(OR($DC$5="P",$DC$5="SS",$DC$5="S"),INDEX(INDIRECT($DC$6),$B19,DD$8),
IF(OR($DC$5="N",$DC$5="AP",$DC$5="AT",$DC$5="SP"),INDEX(INDIRECT($DC$7),$B19,DD$8)))</f>
        <v>0</v>
      </c>
      <c r="DE19" s="190" t="b">
        <f ca="1">IF(OR($DC$5="P",$DC$5="SS",$DC$5="S"),INDEX(INDIRECT($DC$6),$B19,DE$8),
IF(OR($DC$5="N",$DC$5="AP",$DC$5="AT",$DC$5="SP"),INDEX(INDIRECT($DC$7),$B19,DE$8)))</f>
        <v>0</v>
      </c>
      <c r="DF19" s="191" t="b">
        <f t="shared" ca="1" si="53"/>
        <v>0</v>
      </c>
      <c r="DG19" s="190" t="b">
        <f ca="1">IF(OR($DC$5="P",$DC$5="SS",$DC$5="S"),INDEX(INDIRECT($DC$6),$B19,DG$8),
IF(OR($DC$5="N",$DC$5="AP",$DC$5="AT",$DC$5="SP"),INDEX(INDIRECT($DC$7),$B19,DG$8)))</f>
        <v>0</v>
      </c>
      <c r="DH19" s="189" t="b">
        <f t="shared" ca="1" si="73"/>
        <v>0</v>
      </c>
      <c r="DI19" s="189" t="b">
        <f t="shared" ca="1" si="73"/>
        <v>0</v>
      </c>
      <c r="DK19" s="189" t="b">
        <f ca="1">IF(OR($DK$5="P",$DK$5="SS",$DK$5="S"),INDEX(INDIRECT($DK$6),$B19,DK$8),
IF(OR($DK$5="N",$DK$5="AP",$DK$5="AT",$DK$5="SP"),INDEX(INDIRECT($DK$7),$B19,DK$8)))</f>
        <v>0</v>
      </c>
      <c r="DL19" s="189" t="b">
        <f ca="1">IF(OR($DK$5="P",$DK$5="SS",$DK$5="S"),INDEX(INDIRECT($DK$6),$B19,DL$8),
IF(OR($DK$5="N",$DK$5="AP",$DK$5="AT",$DK$5="SP"),INDEX(INDIRECT($DK$7),$B19,DL$8)))</f>
        <v>0</v>
      </c>
      <c r="DM19" s="190" t="b">
        <f ca="1">IF(OR($DK$5="P",$DK$5="SS",$DK$5="S"),INDEX(INDIRECT($DK$6),$B19,DM$8),
IF(OR($DK$5="N",$DK$5="AP",$DK$5="AT",$DK$5="SP"),INDEX(INDIRECT($DK$7),$B19,DM$8)))</f>
        <v>0</v>
      </c>
      <c r="DN19" s="191" t="b">
        <f t="shared" ca="1" si="54"/>
        <v>0</v>
      </c>
      <c r="DO19" s="190" t="b">
        <f ca="1">IF(OR($DK$5="P",$DK$5="SS",$DK$5="S"),INDEX(INDIRECT($DK$6),$B19,DO$8),
IF(OR($DK$5="N",$DK$5="AP",$DK$5="AT",$DK$5="SP"),INDEX(INDIRECT($DK$7),$B19,DO$8)))</f>
        <v>0</v>
      </c>
      <c r="DP19" s="189" t="b">
        <f t="shared" ca="1" si="74"/>
        <v>0</v>
      </c>
      <c r="DQ19" s="189" t="b">
        <f t="shared" ca="1" si="74"/>
        <v>0</v>
      </c>
      <c r="DS19" s="189" t="b">
        <f ca="1">IF(OR($DS$5="P",$DS$5="SS",$DS$5="S"),INDEX(INDIRECT($DS$6),$B19,DS$8),
IF(OR($DS$5="N",$DS$5="AP",$DS$5="AT",$DS$5="SP"),INDEX(INDIRECT($DS$7),$B19,DS$8)))</f>
        <v>0</v>
      </c>
      <c r="DT19" s="189" t="b">
        <f ca="1">IF(OR($DS$5="P",$DS$5="SS",$DS$5="S"),INDEX(INDIRECT($DS$6),$B19,DT$8),
IF(OR($DS$5="N",$DS$5="AP",$DS$5="AT",$DS$5="SP"),INDEX(INDIRECT($DS$7),$B19,DT$8)))</f>
        <v>0</v>
      </c>
      <c r="DU19" s="190" t="b">
        <f ca="1">IF(OR($DS$5="P",$DS$5="SS",$DS$5="S"),INDEX(INDIRECT($DS$6),$B19,DU$8),
IF(OR($DS$5="N",$DS$5="AP",$DS$5="AT",$DS$5="SP"),INDEX(INDIRECT($DS$7),$B19,DU$8)))</f>
        <v>0</v>
      </c>
      <c r="DV19" s="191" t="b">
        <f t="shared" ca="1" si="55"/>
        <v>0</v>
      </c>
      <c r="DW19" s="190" t="b">
        <f ca="1">IF(OR($DS$5="P",$DS$5="SS",$DS$5="S"),INDEX(INDIRECT($DS$6),$B19,DW$8),
IF(OR($DS$5="N",$DS$5="AP",$DS$5="AT",$DS$5="SP"),INDEX(INDIRECT($DS$7),$B19,DW$8)))</f>
        <v>0</v>
      </c>
      <c r="DX19" s="189" t="b">
        <f t="shared" ca="1" si="75"/>
        <v>0</v>
      </c>
      <c r="DY19" s="189" t="b">
        <f t="shared" ca="1" si="75"/>
        <v>0</v>
      </c>
      <c r="EA19" s="189" t="b">
        <f ca="1">IF(OR($EA$5="P",$EA$5="SS",$EA$5="S"),INDEX(INDIRECT($EA$6),$B19,EA$8),
IF(OR($EA$5="N",$EA$5="AP",$EA$5="AT",$EA$5="SP"),INDEX(INDIRECT($EA$7),$B19,EA$8)))</f>
        <v>0</v>
      </c>
      <c r="EB19" s="189" t="b">
        <f ca="1">IF(OR($EA$5="P",$EA$5="SS",$EA$5="S"),INDEX(INDIRECT($EA$6),$B19,EB$8),
IF(OR($EA$5="N",$EA$5="AP",$EA$5="AT",$EA$5="SP"),INDEX(INDIRECT($EA$7),$B19,EB$8)))</f>
        <v>0</v>
      </c>
      <c r="EC19" s="190" t="b">
        <f ca="1">IF(OR($EA$5="P",$EA$5="SS",$EA$5="S"),INDEX(INDIRECT($EA$6),$B19,EC$8),
IF(OR($EA$5="N",$EA$5="AP",$EA$5="AT",$EA$5="SP"),INDEX(INDIRECT($EA$7),$B19,EC$8)))</f>
        <v>0</v>
      </c>
      <c r="ED19" s="191" t="b">
        <f t="shared" ca="1" si="56"/>
        <v>0</v>
      </c>
      <c r="EE19" s="190" t="b">
        <f ca="1">IF(OR($EA$5="P",$EA$5="SS",$EA$5="S"),INDEX(INDIRECT($EA$6),$B19,EE$8),
IF(OR($EA$5="N",$EA$5="AP",$EA$5="AT",$EA$5="SP"),INDEX(INDIRECT($EA$7),$B19,EE$8)))</f>
        <v>0</v>
      </c>
      <c r="EF19" s="189" t="b">
        <f t="shared" ca="1" si="76"/>
        <v>0</v>
      </c>
      <c r="EG19" s="189" t="b">
        <f t="shared" ca="1" si="76"/>
        <v>0</v>
      </c>
      <c r="EI19" s="189" t="b">
        <f ca="1">IF(OR($EI$5="P",$EI$5="SS",$EI$5="S"),INDEX(INDIRECT($EI$6),$B19,EI$8),
IF(OR($EI$5="N",$EI$5="AP",$EI$5="AT",$EI$5="SP"),INDEX(INDIRECT($EI$7),$B19,EI$8)))</f>
        <v>0</v>
      </c>
      <c r="EJ19" s="189" t="b">
        <f ca="1">IF(OR($EI$5="P",$EI$5="SS",$EI$5="S"),INDEX(INDIRECT($EI$6),$B19,EJ$8),
IF(OR($EI$5="N",$EI$5="AP",$EI$5="AT",$EI$5="SP"),INDEX(INDIRECT($EI$7),$B19,EJ$8)))</f>
        <v>0</v>
      </c>
      <c r="EK19" s="190" t="b">
        <f ca="1">IF(OR($EI$5="P",$EI$5="SS",$EI$5="S"),INDEX(INDIRECT($EI$6),$B19,EK$8),
IF(OR($EI$5="N",$EI$5="AP",$EI$5="AT",$EI$5="SP"),INDEX(INDIRECT($EI$7),$B19,EK$8)))</f>
        <v>0</v>
      </c>
      <c r="EL19" s="191" t="b">
        <f t="shared" ca="1" si="57"/>
        <v>0</v>
      </c>
      <c r="EM19" s="190" t="b">
        <f ca="1">IF(OR($EI$5="P",$EI$5="SS",$EI$5="S"),INDEX(INDIRECT($EI$6),$B19,EM$8),
IF(OR($EI$5="N",$EI$5="AP",$EI$5="AT",$EI$5="SP"),INDEX(INDIRECT($EI$7),$B19,EM$8)))</f>
        <v>0</v>
      </c>
      <c r="EN19" s="189" t="b">
        <f t="shared" ca="1" si="77"/>
        <v>0</v>
      </c>
      <c r="EO19" s="189" t="b">
        <f t="shared" ca="1" si="77"/>
        <v>0</v>
      </c>
      <c r="EQ19" s="189" t="b">
        <f ca="1">IF(OR($EQ$5="P",$EQ$5="SS",$EQ$5="S"),INDEX(INDIRECT($EQ$6),$B19,EQ$8),
IF(OR($EQ$5="N",$EQ$5="AP",$EQ$5="AT",$EQ$5="SP"),INDEX(INDIRECT($EQ$7),$B19,EQ$8)))</f>
        <v>0</v>
      </c>
      <c r="ER19" s="189" t="b">
        <f ca="1">IF(OR($EQ$5="P",$EQ$5="SS",$EQ$5="S"),INDEX(INDIRECT($EQ$6),$B19,ER$8),
IF(OR($EQ$5="N",$EQ$5="AP",$EQ$5="AT",$EQ$5="SP"),INDEX(INDIRECT($EQ$7),$B19,ER$8)))</f>
        <v>0</v>
      </c>
      <c r="ES19" s="190" t="b">
        <f ca="1">IF(OR($EQ$5="P",$EQ$5="SS",$EQ$5="S"),INDEX(INDIRECT($EQ$6),$B19,ES$8),
IF(OR($EQ$5="N",$EQ$5="AP",$EQ$5="AT",$EQ$5="SP"),INDEX(INDIRECT($EQ$7),$B19,ES$8)))</f>
        <v>0</v>
      </c>
      <c r="ET19" s="191" t="b">
        <f t="shared" ca="1" si="58"/>
        <v>0</v>
      </c>
      <c r="EU19" s="190" t="b">
        <f ca="1">IF(OR($EQ$5="P",$EQ$5="SS",$EQ$5="S"),INDEX(INDIRECT($EQ$6),$B19,EU$8),
IF(OR($EQ$5="N",$EQ$5="AP",$EQ$5="AT",$EQ$5="SP"),INDEX(INDIRECT($EQ$7),$B19,EU$8)))</f>
        <v>0</v>
      </c>
      <c r="EV19" s="189" t="b">
        <f t="shared" ca="1" si="78"/>
        <v>0</v>
      </c>
      <c r="EW19" s="189" t="b">
        <f t="shared" ca="1" si="78"/>
        <v>0</v>
      </c>
      <c r="EY19" s="189" t="b">
        <f ca="1">IF(OR($EY$5="P",$EY$5="SS",$EY$5="S"),INDEX(INDIRECT($EY$6),$B19,EY$8),
IF(OR($EY$5="N",$EY$5="AP",$EY$5="AT",$EY$5="SP"),INDEX(INDIRECT($EY$7),$B19,EY$8)))</f>
        <v>0</v>
      </c>
      <c r="EZ19" s="189" t="b">
        <f ca="1">IF(OR($EY$5="P",$EY$5="SS",$EY$5="S"),INDEX(INDIRECT($EY$6),$B19,EZ$8),
IF(OR($EY$5="N",$EY$5="AP",$EY$5="AT",$EY$5="SP"),INDEX(INDIRECT($EY$7),$B19,EZ$8)))</f>
        <v>0</v>
      </c>
      <c r="FA19" s="190" t="b">
        <f ca="1">IF(OR($EY$5="P",$EY$5="SS",$EY$5="S"),INDEX(INDIRECT($EY$6),$B19,FA$8),
IF(OR($EY$5="N",$EY$5="AP",$EY$5="AT",$EY$5="SP"),INDEX(INDIRECT($EY$7),$B19,FA$8)))</f>
        <v>0</v>
      </c>
      <c r="FB19" s="191" t="b">
        <f t="shared" ca="1" si="59"/>
        <v>0</v>
      </c>
      <c r="FC19" s="190" t="b">
        <f ca="1">IF(OR($EY$5="P",$EY$5="SS",$EY$5="S"),INDEX(INDIRECT($EY$6),$B19,FC$8),
IF(OR($EY$5="N",$EY$5="AP",$EY$5="AT",$EY$5="SP"),INDEX(INDIRECT($EY$7),$B19,FC$8)))</f>
        <v>0</v>
      </c>
      <c r="FD19" s="189" t="b">
        <f t="shared" ca="1" si="79"/>
        <v>0</v>
      </c>
      <c r="FE19" s="189" t="b">
        <f t="shared" ca="1" si="79"/>
        <v>0</v>
      </c>
    </row>
    <row r="20" spans="1:161" x14ac:dyDescent="0.2">
      <c r="A20" s="183" t="s">
        <v>0</v>
      </c>
      <c r="B20" s="183">
        <v>12</v>
      </c>
      <c r="C20" s="189">
        <f t="shared" ref="C20:I20" ca="1" si="80">IF(OR($C$5="P",$C$5="SS",$C$5="S"),INDEX(INDIRECT($C$6),$B20,C$8),
IF(OR($C$5="N",$C$5="AP",$C$5="SP"),"",IF($C$5="AT",INDEX(INDIRECT($C$7),$B20,C$8))))</f>
        <v>19</v>
      </c>
      <c r="D20" s="189">
        <f t="shared" ca="1" si="80"/>
        <v>19.5</v>
      </c>
      <c r="E20" s="190">
        <f t="shared" ca="1" si="80"/>
        <v>20.5</v>
      </c>
      <c r="F20" s="191">
        <f t="shared" ca="1" si="80"/>
        <v>21</v>
      </c>
      <c r="G20" s="190">
        <f t="shared" ca="1" si="80"/>
        <v>21.5</v>
      </c>
      <c r="H20" s="189">
        <f t="shared" ca="1" si="80"/>
        <v>22</v>
      </c>
      <c r="I20" s="189">
        <f t="shared" ca="1" si="80"/>
        <v>23</v>
      </c>
      <c r="K20" s="189" t="b">
        <f t="shared" ref="K20:Q20" ca="1" si="81">IF(OR($K$5="P",$K$5="SS",$K$5="S"),INDEX(INDIRECT($K$6),$B20,K$8),
IF(OR($K$5="N",$K$5="AP",$K$5="SP"),"",IF($K$5="AT",INDEX(INDIRECT($K$7),$B20,K$8))))</f>
        <v>0</v>
      </c>
      <c r="L20" s="189" t="b">
        <f t="shared" ca="1" si="81"/>
        <v>0</v>
      </c>
      <c r="M20" s="190" t="b">
        <f t="shared" ca="1" si="81"/>
        <v>0</v>
      </c>
      <c r="N20" s="191" t="b">
        <f t="shared" ca="1" si="81"/>
        <v>0</v>
      </c>
      <c r="O20" s="190" t="b">
        <f t="shared" ca="1" si="81"/>
        <v>0</v>
      </c>
      <c r="P20" s="189" t="b">
        <f t="shared" ca="1" si="81"/>
        <v>0</v>
      </c>
      <c r="Q20" s="189" t="b">
        <f t="shared" ca="1" si="81"/>
        <v>0</v>
      </c>
      <c r="S20" s="189" t="b">
        <f t="shared" ref="S20:Y20" ca="1" si="82">IF(OR($S$5="P",$S$5="SS",$S$5="S"),INDEX(INDIRECT($S$6),$B20,S$8),
IF(OR($S$5="N",$S$5="AP",$S$5="SP"),"",IF($S$5="AT",INDEX(INDIRECT($S$7),$B20,S$8))))</f>
        <v>0</v>
      </c>
      <c r="T20" s="189" t="b">
        <f t="shared" ca="1" si="82"/>
        <v>0</v>
      </c>
      <c r="U20" s="190" t="b">
        <f t="shared" ca="1" si="82"/>
        <v>0</v>
      </c>
      <c r="V20" s="191" t="b">
        <f t="shared" ca="1" si="82"/>
        <v>0</v>
      </c>
      <c r="W20" s="190" t="b">
        <f t="shared" ca="1" si="82"/>
        <v>0</v>
      </c>
      <c r="X20" s="189" t="b">
        <f t="shared" ca="1" si="82"/>
        <v>0</v>
      </c>
      <c r="Y20" s="189" t="b">
        <f t="shared" ca="1" si="82"/>
        <v>0</v>
      </c>
      <c r="AA20" s="189" t="b">
        <f t="shared" ref="AA20:AG20" ca="1" si="83">IF(OR($AA$5="P",$AA$5="SS",$AA$5="S"),INDEX(INDIRECT($AA$6),$B20,AA$8),
IF(OR($AA$5="N",$AA$5="AP",$AA$5="SP"),"",IF($AA$5="AT",INDEX(INDIRECT($AA$7),$B20,AA$8))))</f>
        <v>0</v>
      </c>
      <c r="AB20" s="189" t="b">
        <f t="shared" ca="1" si="83"/>
        <v>0</v>
      </c>
      <c r="AC20" s="190" t="b">
        <f t="shared" ca="1" si="83"/>
        <v>0</v>
      </c>
      <c r="AD20" s="191" t="b">
        <f t="shared" ca="1" si="83"/>
        <v>0</v>
      </c>
      <c r="AE20" s="190" t="b">
        <f t="shared" ca="1" si="83"/>
        <v>0</v>
      </c>
      <c r="AF20" s="189" t="b">
        <f t="shared" ca="1" si="83"/>
        <v>0</v>
      </c>
      <c r="AG20" s="189" t="b">
        <f t="shared" ca="1" si="83"/>
        <v>0</v>
      </c>
      <c r="AI20" s="189" t="b">
        <f t="shared" ref="AI20:AO20" ca="1" si="84">IF(OR($AI$5="P",$AI$5="SS",$AI$5="S"),INDEX(INDIRECT($AI$6),$B20,AI$8),
IF(OR($AI$5="N",$AI$5="AP",$AI$5="SP"),"",IF($AI$5="AT",INDEX(INDIRECT($AI$7),$B20,AI$8))))</f>
        <v>0</v>
      </c>
      <c r="AJ20" s="189" t="b">
        <f t="shared" ca="1" si="84"/>
        <v>0</v>
      </c>
      <c r="AK20" s="190" t="b">
        <f t="shared" ca="1" si="84"/>
        <v>0</v>
      </c>
      <c r="AL20" s="191" t="b">
        <f t="shared" ca="1" si="84"/>
        <v>0</v>
      </c>
      <c r="AM20" s="190" t="b">
        <f t="shared" ca="1" si="84"/>
        <v>0</v>
      </c>
      <c r="AN20" s="189" t="b">
        <f t="shared" ca="1" si="84"/>
        <v>0</v>
      </c>
      <c r="AO20" s="189" t="b">
        <f t="shared" ca="1" si="84"/>
        <v>0</v>
      </c>
      <c r="AQ20" s="189" t="b">
        <f t="shared" ref="AQ20:AW20" ca="1" si="85">IF(OR($AQ$5="P",$AQ$5="SS",$AQ$5="S"),INDEX(INDIRECT($AQ$6),$B20,AQ$8),
IF(OR($AQ$5="N",$AQ$5="AP",$AQ$5="SP"),"",IF($AQ$5="AT",INDEX(INDIRECT($AQ$7),$B20,AQ$8))))</f>
        <v>0</v>
      </c>
      <c r="AR20" s="189" t="b">
        <f t="shared" ca="1" si="85"/>
        <v>0</v>
      </c>
      <c r="AS20" s="190" t="b">
        <f t="shared" ca="1" si="85"/>
        <v>0</v>
      </c>
      <c r="AT20" s="191" t="b">
        <f t="shared" ca="1" si="85"/>
        <v>0</v>
      </c>
      <c r="AU20" s="190" t="b">
        <f t="shared" ca="1" si="85"/>
        <v>0</v>
      </c>
      <c r="AV20" s="189" t="b">
        <f t="shared" ca="1" si="85"/>
        <v>0</v>
      </c>
      <c r="AW20" s="189" t="b">
        <f t="shared" ca="1" si="85"/>
        <v>0</v>
      </c>
      <c r="AY20" s="189" t="b">
        <f t="shared" ref="AY20:BE20" ca="1" si="86">IF(OR($AY$5="P",$AY$5="SS",$AY$5="S"),INDEX(INDIRECT($AY$6),$B20,AY$8),
IF(OR($AY$5="N",$AY$5="AP",$AY$5="SP"),"",IF($AY$5="AT",INDEX(INDIRECT($AY$7),$B20,AY$8))))</f>
        <v>0</v>
      </c>
      <c r="AZ20" s="189" t="b">
        <f t="shared" ca="1" si="86"/>
        <v>0</v>
      </c>
      <c r="BA20" s="190" t="b">
        <f t="shared" ca="1" si="86"/>
        <v>0</v>
      </c>
      <c r="BB20" s="191" t="b">
        <f t="shared" ca="1" si="86"/>
        <v>0</v>
      </c>
      <c r="BC20" s="190" t="b">
        <f t="shared" ca="1" si="86"/>
        <v>0</v>
      </c>
      <c r="BD20" s="189" t="b">
        <f t="shared" ca="1" si="86"/>
        <v>0</v>
      </c>
      <c r="BE20" s="189" t="b">
        <f t="shared" ca="1" si="86"/>
        <v>0</v>
      </c>
      <c r="BG20" s="189" t="b">
        <f t="shared" ref="BG20:BM20" ca="1" si="87">IF(OR($BG$5="P",$BG$5="SS",$BG$5="S"),INDEX(INDIRECT($BG$6),$B20,BG$8),
IF(OR($BG$5="N",$BG$5="AP",$BG$5="SP"),"",IF($BG$5="AT",INDEX(INDIRECT($BG$7),$B20,BG$8))))</f>
        <v>0</v>
      </c>
      <c r="BH20" s="189" t="b">
        <f t="shared" ca="1" si="87"/>
        <v>0</v>
      </c>
      <c r="BI20" s="190" t="b">
        <f t="shared" ca="1" si="87"/>
        <v>0</v>
      </c>
      <c r="BJ20" s="191" t="b">
        <f t="shared" ca="1" si="87"/>
        <v>0</v>
      </c>
      <c r="BK20" s="190" t="b">
        <f t="shared" ca="1" si="87"/>
        <v>0</v>
      </c>
      <c r="BL20" s="189" t="b">
        <f t="shared" ca="1" si="87"/>
        <v>0</v>
      </c>
      <c r="BM20" s="189" t="b">
        <f t="shared" ca="1" si="87"/>
        <v>0</v>
      </c>
      <c r="BO20" s="189" t="b">
        <f t="shared" ref="BO20:BU20" ca="1" si="88">IF(OR($BO$5="P",$BO$5="SS",$BO$5="S"),INDEX(INDIRECT($BO$6),$B20,BO$8),
IF(OR($BO$5="N",$BO$5="AP",$BO$5="SP"),"",IF($BO$5="AT",INDEX(INDIRECT($BO$7),$B20,BO$8))))</f>
        <v>0</v>
      </c>
      <c r="BP20" s="189" t="b">
        <f t="shared" ca="1" si="88"/>
        <v>0</v>
      </c>
      <c r="BQ20" s="190" t="b">
        <f t="shared" ca="1" si="88"/>
        <v>0</v>
      </c>
      <c r="BR20" s="191" t="b">
        <f t="shared" ca="1" si="88"/>
        <v>0</v>
      </c>
      <c r="BS20" s="190" t="b">
        <f t="shared" ca="1" si="88"/>
        <v>0</v>
      </c>
      <c r="BT20" s="189" t="b">
        <f t="shared" ca="1" si="88"/>
        <v>0</v>
      </c>
      <c r="BU20" s="189" t="b">
        <f t="shared" ca="1" si="88"/>
        <v>0</v>
      </c>
      <c r="BV20" s="192"/>
      <c r="BW20" s="189" t="b">
        <f t="shared" ref="BW20:CC20" ca="1" si="89">IF(OR($BW$5="P",$BW$5="SS",$BW$5="S"),INDEX(INDIRECT($BW$6),$B20,BW$8),
IF(OR($BW$5="N",$BW$5="AP",$BW$5="SP"),"",IF($BW$5="AT",INDEX(INDIRECT($BW$7),$B20,BW$8))))</f>
        <v>0</v>
      </c>
      <c r="BX20" s="189" t="b">
        <f t="shared" ca="1" si="89"/>
        <v>0</v>
      </c>
      <c r="BY20" s="190" t="b">
        <f t="shared" ca="1" si="89"/>
        <v>0</v>
      </c>
      <c r="BZ20" s="191" t="b">
        <f t="shared" ca="1" si="89"/>
        <v>0</v>
      </c>
      <c r="CA20" s="190" t="b">
        <f t="shared" ca="1" si="89"/>
        <v>0</v>
      </c>
      <c r="CB20" s="189" t="b">
        <f t="shared" ca="1" si="89"/>
        <v>0</v>
      </c>
      <c r="CC20" s="189" t="b">
        <f t="shared" ca="1" si="89"/>
        <v>0</v>
      </c>
      <c r="CE20" s="189" t="b">
        <f t="shared" ref="CE20:CK20" ca="1" si="90">IF(OR($CE$5="P",$CE$5="SS",$CE$5="S"),INDEX(INDIRECT($CE$6),$B20,CE$8),
IF(OR($CE$5="N",$CE$5="AP",$CE$5="SP"),"",IF($CE$5="AT",INDEX(INDIRECT($CE$7),$B20,CE$8))))</f>
        <v>0</v>
      </c>
      <c r="CF20" s="189" t="b">
        <f t="shared" ca="1" si="90"/>
        <v>0</v>
      </c>
      <c r="CG20" s="190" t="b">
        <f t="shared" ca="1" si="90"/>
        <v>0</v>
      </c>
      <c r="CH20" s="191" t="b">
        <f t="shared" ca="1" si="90"/>
        <v>0</v>
      </c>
      <c r="CI20" s="190" t="b">
        <f t="shared" ca="1" si="90"/>
        <v>0</v>
      </c>
      <c r="CJ20" s="189" t="b">
        <f t="shared" ca="1" si="90"/>
        <v>0</v>
      </c>
      <c r="CK20" s="189" t="b">
        <f t="shared" ca="1" si="90"/>
        <v>0</v>
      </c>
      <c r="CM20" s="189" t="b">
        <f t="shared" ref="CM20:CS20" ca="1" si="91">IF(OR($CM$5="P",$CM$5="SS",$CM$5="S"),INDEX(INDIRECT($CM$6),$B20,CM$8),
IF(OR($CM$5="N",$CM$5="AP",$CM$5="SP"),"",IF($CM$5="AT",INDEX(INDIRECT($CM$7),$B20,CM$8))))</f>
        <v>0</v>
      </c>
      <c r="CN20" s="189" t="b">
        <f t="shared" ca="1" si="91"/>
        <v>0</v>
      </c>
      <c r="CO20" s="190" t="b">
        <f t="shared" ca="1" si="91"/>
        <v>0</v>
      </c>
      <c r="CP20" s="191" t="b">
        <f t="shared" ca="1" si="91"/>
        <v>0</v>
      </c>
      <c r="CQ20" s="190" t="b">
        <f t="shared" ca="1" si="91"/>
        <v>0</v>
      </c>
      <c r="CR20" s="189" t="b">
        <f t="shared" ca="1" si="91"/>
        <v>0</v>
      </c>
      <c r="CS20" s="189" t="b">
        <f t="shared" ca="1" si="91"/>
        <v>0</v>
      </c>
      <c r="CU20" s="189" t="b">
        <f t="shared" ref="CU20:DA20" ca="1" si="92">IF(OR($CU$5="P",$CU$5="SS",$CU$5="S"),INDEX(INDIRECT($CU$6),$B20,CU$8),
IF(OR($CU$5="N",$CU$5="AP",$CU$5="SP"),"",IF($CU$5="AT",INDEX(INDIRECT($CU$7),$B20,CU$8))))</f>
        <v>0</v>
      </c>
      <c r="CV20" s="189" t="b">
        <f t="shared" ca="1" si="92"/>
        <v>0</v>
      </c>
      <c r="CW20" s="190" t="b">
        <f t="shared" ca="1" si="92"/>
        <v>0</v>
      </c>
      <c r="CX20" s="191" t="b">
        <f t="shared" ca="1" si="92"/>
        <v>0</v>
      </c>
      <c r="CY20" s="190" t="b">
        <f t="shared" ca="1" si="92"/>
        <v>0</v>
      </c>
      <c r="CZ20" s="189" t="b">
        <f t="shared" ca="1" si="92"/>
        <v>0</v>
      </c>
      <c r="DA20" s="189" t="b">
        <f t="shared" ca="1" si="92"/>
        <v>0</v>
      </c>
      <c r="DC20" s="189" t="b">
        <f t="shared" ref="DC20:DI20" ca="1" si="93">IF(OR($DC$5="P",$DC$5="SS",$DC$5="S"),INDEX(INDIRECT($DC$6),$B20,DC$8),
IF(OR($DC$5="N",$DC$5="AP",$DC$5="SP"),"",IF($DC$5="AT",INDEX(INDIRECT($DC$7),$B20,DC$8))))</f>
        <v>0</v>
      </c>
      <c r="DD20" s="189" t="b">
        <f t="shared" ca="1" si="93"/>
        <v>0</v>
      </c>
      <c r="DE20" s="190" t="b">
        <f t="shared" ca="1" si="93"/>
        <v>0</v>
      </c>
      <c r="DF20" s="191" t="b">
        <f t="shared" ca="1" si="93"/>
        <v>0</v>
      </c>
      <c r="DG20" s="190" t="b">
        <f t="shared" ca="1" si="93"/>
        <v>0</v>
      </c>
      <c r="DH20" s="189" t="b">
        <f t="shared" ca="1" si="93"/>
        <v>0</v>
      </c>
      <c r="DI20" s="189" t="b">
        <f t="shared" ca="1" si="93"/>
        <v>0</v>
      </c>
      <c r="DK20" s="189" t="b">
        <f t="shared" ref="DK20:DQ20" ca="1" si="94">IF(OR($DK$5="P",$DK$5="SS",$DK$5="S"),INDEX(INDIRECT($DK$6),$B20,DK$8),
IF(OR($DK$5="N",$DK$5="AP",$DK$5="SP"),"",IF($DK$5="AT",INDEX(INDIRECT($DK$7),$B20,DK$8))))</f>
        <v>0</v>
      </c>
      <c r="DL20" s="189" t="b">
        <f t="shared" ca="1" si="94"/>
        <v>0</v>
      </c>
      <c r="DM20" s="190" t="b">
        <f t="shared" ca="1" si="94"/>
        <v>0</v>
      </c>
      <c r="DN20" s="191" t="b">
        <f t="shared" ca="1" si="94"/>
        <v>0</v>
      </c>
      <c r="DO20" s="190" t="b">
        <f t="shared" ca="1" si="94"/>
        <v>0</v>
      </c>
      <c r="DP20" s="189" t="b">
        <f t="shared" ca="1" si="94"/>
        <v>0</v>
      </c>
      <c r="DQ20" s="189" t="b">
        <f t="shared" ca="1" si="94"/>
        <v>0</v>
      </c>
      <c r="DS20" s="189" t="b">
        <f t="shared" ref="DS20:DY20" ca="1" si="95">IF(OR($DS$5="P",$DS$5="SS",$DS$5="S"),INDEX(INDIRECT($DS$6),$B20,DS$8),
IF(OR($DS$5="N",$DS$5="AP",$DS$5="SP"),"",IF($DS$5="AT",INDEX(INDIRECT($DS$7),$B20,DS$8))))</f>
        <v>0</v>
      </c>
      <c r="DT20" s="189" t="b">
        <f t="shared" ca="1" si="95"/>
        <v>0</v>
      </c>
      <c r="DU20" s="190" t="b">
        <f t="shared" ca="1" si="95"/>
        <v>0</v>
      </c>
      <c r="DV20" s="191" t="b">
        <f t="shared" ca="1" si="95"/>
        <v>0</v>
      </c>
      <c r="DW20" s="190" t="b">
        <f t="shared" ca="1" si="95"/>
        <v>0</v>
      </c>
      <c r="DX20" s="189" t="b">
        <f t="shared" ca="1" si="95"/>
        <v>0</v>
      </c>
      <c r="DY20" s="189" t="b">
        <f t="shared" ca="1" si="95"/>
        <v>0</v>
      </c>
      <c r="EA20" s="189" t="b">
        <f t="shared" ref="EA20:EG20" ca="1" si="96">IF(OR($EA$5="P",$EA$5="SS",$EA$5="S"),INDEX(INDIRECT($EA$6),$B20,EA$8),
IF(OR($EA$5="N",$EA$5="AP",$EA$5="SP"),"",IF($EA$5="AT",INDEX(INDIRECT($EA$7),$B20,EA$8))))</f>
        <v>0</v>
      </c>
      <c r="EB20" s="189" t="b">
        <f t="shared" ca="1" si="96"/>
        <v>0</v>
      </c>
      <c r="EC20" s="190" t="b">
        <f t="shared" ca="1" si="96"/>
        <v>0</v>
      </c>
      <c r="ED20" s="191" t="b">
        <f t="shared" ca="1" si="96"/>
        <v>0</v>
      </c>
      <c r="EE20" s="190" t="b">
        <f t="shared" ca="1" si="96"/>
        <v>0</v>
      </c>
      <c r="EF20" s="189" t="b">
        <f t="shared" ca="1" si="96"/>
        <v>0</v>
      </c>
      <c r="EG20" s="189" t="b">
        <f t="shared" ca="1" si="96"/>
        <v>0</v>
      </c>
      <c r="EI20" s="189" t="b">
        <f t="shared" ref="EI20:EO20" ca="1" si="97">IF(OR($EI$5="P",$EI$5="SS",$EI$5="S"),INDEX(INDIRECT($EI$6),$B20,EI$8),
IF(OR($EI$5="N",$EI$5="AP",$EI$5="SP"),"",IF($EI$5="AT",INDEX(INDIRECT($EI$7),$B20,EI$8))))</f>
        <v>0</v>
      </c>
      <c r="EJ20" s="189" t="b">
        <f t="shared" ca="1" si="97"/>
        <v>0</v>
      </c>
      <c r="EK20" s="190" t="b">
        <f t="shared" ca="1" si="97"/>
        <v>0</v>
      </c>
      <c r="EL20" s="191" t="b">
        <f t="shared" ca="1" si="97"/>
        <v>0</v>
      </c>
      <c r="EM20" s="190" t="b">
        <f t="shared" ca="1" si="97"/>
        <v>0</v>
      </c>
      <c r="EN20" s="189" t="b">
        <f t="shared" ca="1" si="97"/>
        <v>0</v>
      </c>
      <c r="EO20" s="189" t="b">
        <f t="shared" ca="1" si="97"/>
        <v>0</v>
      </c>
      <c r="EQ20" s="189" t="b">
        <f t="shared" ref="EQ20:EW20" ca="1" si="98">IF(OR($EQ$5="P",$EQ$5="SS",$EQ$5="S"),INDEX(INDIRECT($EQ$6),$B20,EQ$8),
IF(OR($EQ$5="N",$EQ$5="AP",$EQ$5="SP"),"",IF($EQ$5="AT",INDEX(INDIRECT($EQ$7),$B20,EQ$8))))</f>
        <v>0</v>
      </c>
      <c r="ER20" s="189" t="b">
        <f t="shared" ca="1" si="98"/>
        <v>0</v>
      </c>
      <c r="ES20" s="190" t="b">
        <f t="shared" ca="1" si="98"/>
        <v>0</v>
      </c>
      <c r="ET20" s="191" t="b">
        <f t="shared" ca="1" si="98"/>
        <v>0</v>
      </c>
      <c r="EU20" s="190" t="b">
        <f t="shared" ca="1" si="98"/>
        <v>0</v>
      </c>
      <c r="EV20" s="189" t="b">
        <f t="shared" ca="1" si="98"/>
        <v>0</v>
      </c>
      <c r="EW20" s="189" t="b">
        <f t="shared" ca="1" si="98"/>
        <v>0</v>
      </c>
      <c r="EY20" s="189" t="b">
        <f t="shared" ref="EY20:FE20" ca="1" si="99">IF(OR($EY$5="P",$EY$5="SS",$EY$5="S"),INDEX(INDIRECT($EY$6),$B20,EY$8),
IF(OR($EY$5="N",$EY$5="AP",$EY$5="SP"),"",IF($EY$5="AT",INDEX(INDIRECT($EY$7),$B20,EY$8))))</f>
        <v>0</v>
      </c>
      <c r="EZ20" s="189" t="b">
        <f t="shared" ca="1" si="99"/>
        <v>0</v>
      </c>
      <c r="FA20" s="190" t="b">
        <f t="shared" ca="1" si="99"/>
        <v>0</v>
      </c>
      <c r="FB20" s="191" t="b">
        <f t="shared" ca="1" si="99"/>
        <v>0</v>
      </c>
      <c r="FC20" s="190" t="b">
        <f t="shared" ca="1" si="99"/>
        <v>0</v>
      </c>
      <c r="FD20" s="189" t="b">
        <f t="shared" ca="1" si="99"/>
        <v>0</v>
      </c>
      <c r="FE20" s="189" t="b">
        <f t="shared" ca="1" si="99"/>
        <v>0</v>
      </c>
    </row>
    <row r="21" spans="1:161" x14ac:dyDescent="0.2">
      <c r="A21" s="183" t="s">
        <v>255</v>
      </c>
      <c r="B21" s="183">
        <v>13</v>
      </c>
      <c r="C21" s="193">
        <f ca="1">IF(OR($C$5="P",$C$5="SS",$C$5="S"),INDEX(INDIRECT($C$7),1,C$8),
IF(OR($C$5="N",$C$5="AP",$C$5="SP"),INDEX(INDIRECT($C$7),$B20,C$8),
IF($C$5="AT",INDEX(INDIRECT($C$7),$B21,C$8))))</f>
        <v>51000</v>
      </c>
      <c r="D21" s="193">
        <f t="shared" ref="D21:I21" ca="1" si="100">IF(OR($C$5="P",$C$5="SS",$C$5="S"),INDEX(INDIRECT($C$7),1,D$8),
IF(OR($C$5="N",$C$5="AP",$C$5="SP"),INDEX(INDIRECT($C$7),$B20,D$8),
IF($C$5="AT",INDEX(INDIRECT($C$7),$B21,D$8))))</f>
        <v>53500</v>
      </c>
      <c r="E21" s="193">
        <f t="shared" ca="1" si="100"/>
        <v>56000</v>
      </c>
      <c r="F21" s="194">
        <f t="shared" ca="1" si="100"/>
        <v>57000</v>
      </c>
      <c r="G21" s="193">
        <f t="shared" ca="1" si="100"/>
        <v>58000</v>
      </c>
      <c r="H21" s="193">
        <f t="shared" ca="1" si="100"/>
        <v>60500</v>
      </c>
      <c r="I21" s="193">
        <f t="shared" ca="1" si="100"/>
        <v>62500</v>
      </c>
      <c r="K21" s="193" t="b">
        <f t="shared" ref="K21:Q21" ca="1" si="101">IF(OR($K$5="P",$K$5="SS",$K$5="S"),INDEX(INDIRECT($K$7),1,K$8),
IF(OR($K$5="N",$K$5="AP",$K$5="SP"),INDEX(INDIRECT($K$7),$B20,K$8),
IF($K$5="AT",INDEX(INDIRECT($K$7),$B21,K$8))))</f>
        <v>0</v>
      </c>
      <c r="L21" s="193" t="b">
        <f t="shared" ca="1" si="101"/>
        <v>0</v>
      </c>
      <c r="M21" s="193" t="b">
        <f t="shared" ca="1" si="101"/>
        <v>0</v>
      </c>
      <c r="N21" s="194" t="b">
        <f t="shared" ca="1" si="101"/>
        <v>0</v>
      </c>
      <c r="O21" s="193" t="b">
        <f t="shared" ca="1" si="101"/>
        <v>0</v>
      </c>
      <c r="P21" s="193" t="b">
        <f t="shared" ca="1" si="101"/>
        <v>0</v>
      </c>
      <c r="Q21" s="193" t="b">
        <f t="shared" ca="1" si="101"/>
        <v>0</v>
      </c>
      <c r="S21" s="193" t="b">
        <f t="shared" ref="S21:Y21" ca="1" si="102">IF(OR($S$5="P",$S$5="SS",$S$5="S"),INDEX(INDIRECT($S$7),1,S$8),
IF(OR($S$5="N",$S$5="AP",$S$5="SP"),INDEX(INDIRECT($S$7),$B20,S$8),
IF($S$5="AT",INDEX(INDIRECT($S$7),$B21,S$8))))</f>
        <v>0</v>
      </c>
      <c r="T21" s="193" t="b">
        <f t="shared" ca="1" si="102"/>
        <v>0</v>
      </c>
      <c r="U21" s="193" t="b">
        <f t="shared" ca="1" si="102"/>
        <v>0</v>
      </c>
      <c r="V21" s="194" t="b">
        <f t="shared" ca="1" si="102"/>
        <v>0</v>
      </c>
      <c r="W21" s="193" t="b">
        <f t="shared" ca="1" si="102"/>
        <v>0</v>
      </c>
      <c r="X21" s="193" t="b">
        <f t="shared" ca="1" si="102"/>
        <v>0</v>
      </c>
      <c r="Y21" s="193" t="b">
        <f t="shared" ca="1" si="102"/>
        <v>0</v>
      </c>
      <c r="AA21" s="193" t="b">
        <f t="shared" ref="AA21:AG21" ca="1" si="103">IF(OR($AA$5="P",$AA$5="SS",$AA$5="S"),INDEX(INDIRECT($AA$7),1,AA$8),
IF(OR($AA$5="N",$AA$5="AP",$AA$5="SP"),INDEX(INDIRECT($AA$7),$B20,AA$8),
IF($AA$5="AT",INDEX(INDIRECT($AA$7),$B21,AA$8))))</f>
        <v>0</v>
      </c>
      <c r="AB21" s="193" t="b">
        <f t="shared" ca="1" si="103"/>
        <v>0</v>
      </c>
      <c r="AC21" s="193" t="b">
        <f t="shared" ca="1" si="103"/>
        <v>0</v>
      </c>
      <c r="AD21" s="194" t="b">
        <f t="shared" ca="1" si="103"/>
        <v>0</v>
      </c>
      <c r="AE21" s="193" t="b">
        <f t="shared" ca="1" si="103"/>
        <v>0</v>
      </c>
      <c r="AF21" s="193" t="b">
        <f t="shared" ca="1" si="103"/>
        <v>0</v>
      </c>
      <c r="AG21" s="193" t="b">
        <f t="shared" ca="1" si="103"/>
        <v>0</v>
      </c>
      <c r="AI21" s="193" t="b">
        <f t="shared" ref="AI21:AO21" ca="1" si="104">IF(OR($AI$5="P",$AI$5="SS",$AI$5="S"),INDEX(INDIRECT($AI$7),1,AI$8),
IF(OR($AI$5="N",$AI$5="AP",$AI$5="SP"),INDEX(INDIRECT($AI$7),$B20,AI$8),
IF($AI$5="AT",INDEX(INDIRECT($AI$7),$B21,AI$8))))</f>
        <v>0</v>
      </c>
      <c r="AJ21" s="193" t="b">
        <f t="shared" ca="1" si="104"/>
        <v>0</v>
      </c>
      <c r="AK21" s="193" t="b">
        <f t="shared" ca="1" si="104"/>
        <v>0</v>
      </c>
      <c r="AL21" s="194" t="b">
        <f t="shared" ca="1" si="104"/>
        <v>0</v>
      </c>
      <c r="AM21" s="193" t="b">
        <f t="shared" ca="1" si="104"/>
        <v>0</v>
      </c>
      <c r="AN21" s="193" t="b">
        <f t="shared" ca="1" si="104"/>
        <v>0</v>
      </c>
      <c r="AO21" s="193" t="b">
        <f t="shared" ca="1" si="104"/>
        <v>0</v>
      </c>
      <c r="AQ21" s="193" t="b">
        <f t="shared" ref="AQ21:AW21" ca="1" si="105">IF(OR($AQ$5="P",$AQ$5="SS",$AQ$5="S"),INDEX(INDIRECT($AQ$7),1,AQ$8),
IF(OR($AQ$5="N",$AQ$5="AP",$AQ$5="SP"),INDEX(INDIRECT($AQ$7),$B20,AQ$8),
IF($AQ$5="AT",INDEX(INDIRECT($AQ$7),$B21,AQ$8))))</f>
        <v>0</v>
      </c>
      <c r="AR21" s="193" t="b">
        <f t="shared" ca="1" si="105"/>
        <v>0</v>
      </c>
      <c r="AS21" s="193" t="b">
        <f t="shared" ca="1" si="105"/>
        <v>0</v>
      </c>
      <c r="AT21" s="194" t="b">
        <f t="shared" ca="1" si="105"/>
        <v>0</v>
      </c>
      <c r="AU21" s="193" t="b">
        <f t="shared" ca="1" si="105"/>
        <v>0</v>
      </c>
      <c r="AV21" s="193" t="b">
        <f t="shared" ca="1" si="105"/>
        <v>0</v>
      </c>
      <c r="AW21" s="193" t="b">
        <f t="shared" ca="1" si="105"/>
        <v>0</v>
      </c>
      <c r="AY21" s="193" t="b">
        <f t="shared" ref="AY21:BE21" ca="1" si="106">IF(OR($AY$5="P",$AY$5="SS",$AY$5="S"),INDEX(INDIRECT($AY$7),1,AY$8),
IF(OR($AY$5="N",$AY$5="AP",$AY$5="SP"),INDEX(INDIRECT($AY$7),$B20,AY$8),
IF($AY$5="AT",INDEX(INDIRECT($AY$7),$B21,AY$8))))</f>
        <v>0</v>
      </c>
      <c r="AZ21" s="193" t="b">
        <f t="shared" ca="1" si="106"/>
        <v>0</v>
      </c>
      <c r="BA21" s="193" t="b">
        <f t="shared" ca="1" si="106"/>
        <v>0</v>
      </c>
      <c r="BB21" s="194" t="b">
        <f t="shared" ca="1" si="106"/>
        <v>0</v>
      </c>
      <c r="BC21" s="193" t="b">
        <f t="shared" ca="1" si="106"/>
        <v>0</v>
      </c>
      <c r="BD21" s="193" t="b">
        <f t="shared" ca="1" si="106"/>
        <v>0</v>
      </c>
      <c r="BE21" s="193" t="b">
        <f t="shared" ca="1" si="106"/>
        <v>0</v>
      </c>
      <c r="BG21" s="193" t="b">
        <f t="shared" ref="BG21:BM21" ca="1" si="107">IF(OR($BG$5="P",$BG$5="SS",$BG$5="S"),INDEX(INDIRECT($BG$7),1,BG$8),
IF(OR($BG$5="N",$BG$5="AP",$BG$5="SP"),INDEX(INDIRECT($BG$7),$B20,BG$8),
IF($BG$5="AT",INDEX(INDIRECT($BG$7),$B21,BG$8))))</f>
        <v>0</v>
      </c>
      <c r="BH21" s="193" t="b">
        <f t="shared" ca="1" si="107"/>
        <v>0</v>
      </c>
      <c r="BI21" s="193" t="b">
        <f t="shared" ca="1" si="107"/>
        <v>0</v>
      </c>
      <c r="BJ21" s="194" t="b">
        <f t="shared" ca="1" si="107"/>
        <v>0</v>
      </c>
      <c r="BK21" s="193" t="b">
        <f t="shared" ca="1" si="107"/>
        <v>0</v>
      </c>
      <c r="BL21" s="193" t="b">
        <f t="shared" ca="1" si="107"/>
        <v>0</v>
      </c>
      <c r="BM21" s="193" t="b">
        <f t="shared" ca="1" si="107"/>
        <v>0</v>
      </c>
      <c r="BO21" s="193" t="b">
        <f t="shared" ref="BO21:BU21" ca="1" si="108">IF(OR($BO$5="P",$BO$5="SS",$BO$5="S"),INDEX(INDIRECT($BO$7),1,BO$8),
IF(OR($BO$5="N",$BO$5="AP",$BO$5="SP"),INDEX(INDIRECT($BO$7),$B20,BO$8),
IF($BO$5="AT",INDEX(INDIRECT($BO$7),$B21,BO$8))))</f>
        <v>0</v>
      </c>
      <c r="BP21" s="193" t="b">
        <f t="shared" ca="1" si="108"/>
        <v>0</v>
      </c>
      <c r="BQ21" s="193" t="b">
        <f t="shared" ca="1" si="108"/>
        <v>0</v>
      </c>
      <c r="BR21" s="194" t="b">
        <f t="shared" ca="1" si="108"/>
        <v>0</v>
      </c>
      <c r="BS21" s="193" t="b">
        <f t="shared" ca="1" si="108"/>
        <v>0</v>
      </c>
      <c r="BT21" s="193" t="b">
        <f t="shared" ca="1" si="108"/>
        <v>0</v>
      </c>
      <c r="BU21" s="193" t="b">
        <f t="shared" ca="1" si="108"/>
        <v>0</v>
      </c>
      <c r="BV21" s="195"/>
      <c r="BW21" s="193" t="b">
        <f t="shared" ref="BW21:CC21" ca="1" si="109">IF(OR($BW$5="P",$BW$5="SS",$BW$5="S"),INDEX(INDIRECT($BW$7),1,BW$8),
IF(OR($BW$5="N",$BW$5="AP",$BW$5="SP"),INDEX(INDIRECT($BW$7),$B20,BW$8),
IF($BW$5="AT",INDEX(INDIRECT($BW$7),$B21,BW$8))))</f>
        <v>0</v>
      </c>
      <c r="BX21" s="193" t="b">
        <f t="shared" ca="1" si="109"/>
        <v>0</v>
      </c>
      <c r="BY21" s="193" t="b">
        <f t="shared" ca="1" si="109"/>
        <v>0</v>
      </c>
      <c r="BZ21" s="194" t="b">
        <f t="shared" ca="1" si="109"/>
        <v>0</v>
      </c>
      <c r="CA21" s="193" t="b">
        <f t="shared" ca="1" si="109"/>
        <v>0</v>
      </c>
      <c r="CB21" s="193" t="b">
        <f t="shared" ca="1" si="109"/>
        <v>0</v>
      </c>
      <c r="CC21" s="193" t="b">
        <f t="shared" ca="1" si="109"/>
        <v>0</v>
      </c>
      <c r="CE21" s="193" t="b">
        <f t="shared" ref="CE21:CK21" ca="1" si="110">IF(OR($CE$5="P",$CE$5="SS",$CE$5="S"),INDEX(INDIRECT($CE$7),1,CE$8),
IF(OR($CE$5="N",$CE$5="AP",$CE$5="SP"),INDEX(INDIRECT($CE$7),$B20,CE$8),
IF($CE$5="AT",INDEX(INDIRECT($CE$7),$B21,CE$8))))</f>
        <v>0</v>
      </c>
      <c r="CF21" s="193" t="b">
        <f t="shared" ca="1" si="110"/>
        <v>0</v>
      </c>
      <c r="CG21" s="193" t="b">
        <f t="shared" ca="1" si="110"/>
        <v>0</v>
      </c>
      <c r="CH21" s="194" t="b">
        <f t="shared" ca="1" si="110"/>
        <v>0</v>
      </c>
      <c r="CI21" s="193" t="b">
        <f t="shared" ca="1" si="110"/>
        <v>0</v>
      </c>
      <c r="CJ21" s="193" t="b">
        <f t="shared" ca="1" si="110"/>
        <v>0</v>
      </c>
      <c r="CK21" s="193" t="b">
        <f t="shared" ca="1" si="110"/>
        <v>0</v>
      </c>
      <c r="CM21" s="193" t="b">
        <f t="shared" ref="CM21:CS21" ca="1" si="111">IF(OR($CM$5="P",$CM$5="SS",$CM$5="S"),INDEX(INDIRECT($CM$7),1,CM$8),
IF(OR($CM$5="N",$CM$5="AP",$CM$5="SP"),INDEX(INDIRECT($CM$7),$B20,CM$8),
IF($CM$5="AT",INDEX(INDIRECT($CM$7),$B21,CM$8))))</f>
        <v>0</v>
      </c>
      <c r="CN21" s="193" t="b">
        <f t="shared" ca="1" si="111"/>
        <v>0</v>
      </c>
      <c r="CO21" s="193" t="b">
        <f t="shared" ca="1" si="111"/>
        <v>0</v>
      </c>
      <c r="CP21" s="194" t="b">
        <f t="shared" ca="1" si="111"/>
        <v>0</v>
      </c>
      <c r="CQ21" s="193" t="b">
        <f t="shared" ca="1" si="111"/>
        <v>0</v>
      </c>
      <c r="CR21" s="193" t="b">
        <f t="shared" ca="1" si="111"/>
        <v>0</v>
      </c>
      <c r="CS21" s="193" t="b">
        <f t="shared" ca="1" si="111"/>
        <v>0</v>
      </c>
      <c r="CU21" s="193" t="b">
        <f t="shared" ref="CU21:DA21" ca="1" si="112">IF(OR($CU$5="P",$CU$5="SS",$CU$5="S"),INDEX(INDIRECT($CU$7),1,CU$8),
IF(OR($CU$5="N",$CU$5="AP",$CU$5="SP"),INDEX(INDIRECT($CU$7),$B20,CU$8),
IF($CU$5="AT",INDEX(INDIRECT($CU$7),$B21,CU$8))))</f>
        <v>0</v>
      </c>
      <c r="CV21" s="193" t="b">
        <f t="shared" ca="1" si="112"/>
        <v>0</v>
      </c>
      <c r="CW21" s="193" t="b">
        <f t="shared" ca="1" si="112"/>
        <v>0</v>
      </c>
      <c r="CX21" s="194" t="b">
        <f t="shared" ca="1" si="112"/>
        <v>0</v>
      </c>
      <c r="CY21" s="193" t="b">
        <f t="shared" ca="1" si="112"/>
        <v>0</v>
      </c>
      <c r="CZ21" s="193" t="b">
        <f t="shared" ca="1" si="112"/>
        <v>0</v>
      </c>
      <c r="DA21" s="193" t="b">
        <f t="shared" ca="1" si="112"/>
        <v>0</v>
      </c>
      <c r="DC21" s="193" t="b">
        <f t="shared" ref="DC21:DI21" ca="1" si="113">IF(OR($DC$5="P",$DC$5="SS",$DC$5="S"),INDEX(INDIRECT($DC$7),1,DC$8),
IF(OR($DC$5="N",$DC$5="AP",$DC$5="SP"),INDEX(INDIRECT($DC$7),$B20,DC$8),
IF($DC$5="AT",INDEX(INDIRECT($DC$7),$B21,DC$8))))</f>
        <v>0</v>
      </c>
      <c r="DD21" s="193" t="b">
        <f t="shared" ca="1" si="113"/>
        <v>0</v>
      </c>
      <c r="DE21" s="193" t="b">
        <f t="shared" ca="1" si="113"/>
        <v>0</v>
      </c>
      <c r="DF21" s="194" t="b">
        <f t="shared" ca="1" si="113"/>
        <v>0</v>
      </c>
      <c r="DG21" s="193" t="b">
        <f t="shared" ca="1" si="113"/>
        <v>0</v>
      </c>
      <c r="DH21" s="193" t="b">
        <f t="shared" ca="1" si="113"/>
        <v>0</v>
      </c>
      <c r="DI21" s="193" t="b">
        <f t="shared" ca="1" si="113"/>
        <v>0</v>
      </c>
      <c r="DK21" s="193" t="b">
        <f t="shared" ref="DK21:DQ21" ca="1" si="114">IF(OR($DK$5="P",$DK$5="SS",$DK$5="S"),INDEX(INDIRECT($DK$7),1,DK$8),
IF(OR($DK$5="N",$DK$5="AP",$DK$5="SP"),INDEX(INDIRECT($DK$7),$B20,DK$8),
IF($DK$5="AT",INDEX(INDIRECT($DK$7),$B21,DK$8))))</f>
        <v>0</v>
      </c>
      <c r="DL21" s="193" t="b">
        <f t="shared" ca="1" si="114"/>
        <v>0</v>
      </c>
      <c r="DM21" s="193" t="b">
        <f t="shared" ca="1" si="114"/>
        <v>0</v>
      </c>
      <c r="DN21" s="194" t="b">
        <f t="shared" ca="1" si="114"/>
        <v>0</v>
      </c>
      <c r="DO21" s="193" t="b">
        <f t="shared" ca="1" si="114"/>
        <v>0</v>
      </c>
      <c r="DP21" s="193" t="b">
        <f t="shared" ca="1" si="114"/>
        <v>0</v>
      </c>
      <c r="DQ21" s="193" t="b">
        <f t="shared" ca="1" si="114"/>
        <v>0</v>
      </c>
      <c r="DS21" s="193" t="b">
        <f t="shared" ref="DS21:DY21" ca="1" si="115">IF(OR($DS$5="P",$DS$5="SS",$DS$5="S"),INDEX(INDIRECT($DS$7),1,DS$8),
IF(OR($DS$5="N",$DS$5="AP",$DS$5="SP"),INDEX(INDIRECT($DS$7),$B20,DS$8),
IF($DS$5="AT",INDEX(INDIRECT($DS$7),$B21,DS$8))))</f>
        <v>0</v>
      </c>
      <c r="DT21" s="193" t="b">
        <f t="shared" ca="1" si="115"/>
        <v>0</v>
      </c>
      <c r="DU21" s="193" t="b">
        <f t="shared" ca="1" si="115"/>
        <v>0</v>
      </c>
      <c r="DV21" s="194" t="b">
        <f t="shared" ca="1" si="115"/>
        <v>0</v>
      </c>
      <c r="DW21" s="193" t="b">
        <f t="shared" ca="1" si="115"/>
        <v>0</v>
      </c>
      <c r="DX21" s="193" t="b">
        <f t="shared" ca="1" si="115"/>
        <v>0</v>
      </c>
      <c r="DY21" s="193" t="b">
        <f t="shared" ca="1" si="115"/>
        <v>0</v>
      </c>
      <c r="EA21" s="193" t="b">
        <f t="shared" ref="EA21:EG21" ca="1" si="116">IF(OR($EA$5="P",$EA$5="SS",$EA$5="S"),INDEX(INDIRECT($EA$7),1,EA$8),
IF(OR($EA$5="N",$EA$5="AP",$EA$5="SP"),INDEX(INDIRECT($EA$7),$B20,EA$8),
IF($EA$5="AT",INDEX(INDIRECT($EA$7),$B21,EA$8))))</f>
        <v>0</v>
      </c>
      <c r="EB21" s="193" t="b">
        <f t="shared" ca="1" si="116"/>
        <v>0</v>
      </c>
      <c r="EC21" s="193" t="b">
        <f t="shared" ca="1" si="116"/>
        <v>0</v>
      </c>
      <c r="ED21" s="194" t="b">
        <f t="shared" ca="1" si="116"/>
        <v>0</v>
      </c>
      <c r="EE21" s="193" t="b">
        <f t="shared" ca="1" si="116"/>
        <v>0</v>
      </c>
      <c r="EF21" s="193" t="b">
        <f t="shared" ca="1" si="116"/>
        <v>0</v>
      </c>
      <c r="EG21" s="193" t="b">
        <f t="shared" ca="1" si="116"/>
        <v>0</v>
      </c>
      <c r="EI21" s="193" t="b">
        <f t="shared" ref="EI21:EO21" ca="1" si="117">IF(OR($EI$5="P",$EI$5="SS",$EI$5="S"),INDEX(INDIRECT($EI$7),1,EI$8),
IF(OR($EI$5="N",$EI$5="AP",$EI$5="SP"),INDEX(INDIRECT($EI$7),$B20,EI$8),
IF($EI$5="AT",INDEX(INDIRECT($EI$7),$B21,EI$8))))</f>
        <v>0</v>
      </c>
      <c r="EJ21" s="193" t="b">
        <f t="shared" ca="1" si="117"/>
        <v>0</v>
      </c>
      <c r="EK21" s="193" t="b">
        <f t="shared" ca="1" si="117"/>
        <v>0</v>
      </c>
      <c r="EL21" s="194" t="b">
        <f t="shared" ca="1" si="117"/>
        <v>0</v>
      </c>
      <c r="EM21" s="193" t="b">
        <f t="shared" ca="1" si="117"/>
        <v>0</v>
      </c>
      <c r="EN21" s="193" t="b">
        <f t="shared" ca="1" si="117"/>
        <v>0</v>
      </c>
      <c r="EO21" s="193" t="b">
        <f t="shared" ca="1" si="117"/>
        <v>0</v>
      </c>
      <c r="EQ21" s="193" t="b">
        <f t="shared" ref="EQ21:EW21" ca="1" si="118">IF(OR($EQ$5="P",$EQ$5="SS",$EQ$5="S"),INDEX(INDIRECT($EQ$7),1,EQ$8),
IF(OR($EQ$5="N",$EQ$5="AP",$EQ$5="SP"),INDEX(INDIRECT($EQ$7),$B20,EQ$8),
IF($EQ$5="AT",INDEX(INDIRECT($EQ$7),$B21,EQ$8))))</f>
        <v>0</v>
      </c>
      <c r="ER21" s="193" t="b">
        <f t="shared" ca="1" si="118"/>
        <v>0</v>
      </c>
      <c r="ES21" s="193" t="b">
        <f t="shared" ca="1" si="118"/>
        <v>0</v>
      </c>
      <c r="ET21" s="194" t="b">
        <f t="shared" ca="1" si="118"/>
        <v>0</v>
      </c>
      <c r="EU21" s="193" t="b">
        <f t="shared" ca="1" si="118"/>
        <v>0</v>
      </c>
      <c r="EV21" s="193" t="b">
        <f t="shared" ca="1" si="118"/>
        <v>0</v>
      </c>
      <c r="EW21" s="193" t="b">
        <f t="shared" ca="1" si="118"/>
        <v>0</v>
      </c>
      <c r="EY21" s="193" t="b">
        <f t="shared" ref="EY21:FE21" ca="1" si="119">IF(OR($EY$5="P",$EY$5="SS",$EY$5="S"),INDEX(INDIRECT($EY$7),1,EY$8),
IF(OR($EY$5="N",$EY$5="AP",$EY$5="SP"),INDEX(INDIRECT($EY$7),$B20,EY$8),
IF($EY$5="AT",INDEX(INDIRECT($EY$7),$B21,EY$8))))</f>
        <v>0</v>
      </c>
      <c r="EZ21" s="193" t="b">
        <f t="shared" ca="1" si="119"/>
        <v>0</v>
      </c>
      <c r="FA21" s="193" t="b">
        <f t="shared" ca="1" si="119"/>
        <v>0</v>
      </c>
      <c r="FB21" s="194" t="b">
        <f t="shared" ca="1" si="119"/>
        <v>0</v>
      </c>
      <c r="FC21" s="193" t="b">
        <f t="shared" ca="1" si="119"/>
        <v>0</v>
      </c>
      <c r="FD21" s="193" t="b">
        <f t="shared" ca="1" si="119"/>
        <v>0</v>
      </c>
      <c r="FE21" s="193" t="b">
        <f t="shared" ca="1" si="119"/>
        <v>0</v>
      </c>
    </row>
    <row r="26" spans="1:161" s="180" customFormat="1" ht="15" x14ac:dyDescent="0.25">
      <c r="A26" s="180" t="s">
        <v>303</v>
      </c>
    </row>
    <row r="28" spans="1:161" ht="15" x14ac:dyDescent="0.25">
      <c r="A28" s="200" t="s">
        <v>297</v>
      </c>
      <c r="B28" s="200"/>
      <c r="C28" s="200"/>
      <c r="D28" s="200" t="s">
        <v>299</v>
      </c>
      <c r="E28" s="200" t="s">
        <v>298</v>
      </c>
      <c r="F28" s="200"/>
      <c r="G28" s="200"/>
      <c r="H28" s="200"/>
      <c r="I28" s="200" t="s">
        <v>306</v>
      </c>
    </row>
    <row r="29" spans="1:161" x14ac:dyDescent="0.2">
      <c r="A29" s="196" t="str">
        <f>IF(Dashboard!H$13=0,"",Dashboard!H$13)</f>
        <v>Shenfield High School</v>
      </c>
      <c r="B29" s="197">
        <v>1</v>
      </c>
      <c r="C29" s="197" t="s">
        <v>269</v>
      </c>
      <c r="D29" s="197" t="s">
        <v>263</v>
      </c>
      <c r="E29" s="198" t="str">
        <f>IF(Dashboard!H$14=0,"",Dashboard!H$14)</f>
        <v>Secondary with sixth form</v>
      </c>
      <c r="F29" s="196" t="str">
        <f>IF(Dashboard!H$15=0,"",Dashboard!H$15)</f>
        <v>East of England</v>
      </c>
      <c r="G29" s="196">
        <f>IF(Dashboard!H$16=0,"",Dashboard!H$16)</f>
        <v>1352</v>
      </c>
      <c r="H29" s="196">
        <f>IF(Dashboard!H$17=0,"",Dashboard!H$17)</f>
        <v>6.1400000000000003E-2</v>
      </c>
      <c r="I29" s="197" t="str">
        <f>IF(F29="","",IF(OR(F29="Inner London",F29="Outer London"),"in London","outside London"))</f>
        <v>outside London</v>
      </c>
      <c r="J29" s="197" t="str">
        <f>IF(AND(E29="Primary",G29&lt;=$X$30),"very small",IF(AND(E29="Primary",G29&lt;=$Y$30,G29&gt;$X$30),"small",IF(AND(E29="Primary",G29&gt;$Y$30,G29&lt;=$Z$30),"medium",IF(AND(E29="Primary",G29&gt;$Z$30),"large",
IF(AND(E29="Secondary with sixth form",G29&lt;=$Y$31),"small",IF(AND(E29="Secondary with sixth form",G29&gt;$Y$31,G29&lt;=$Z$31),"medium",IF(AND(E29="Secondary with sixth form",G29&gt;$Z$31),"large",
IF(AND(E29="Secondary without sixth form",G29&lt;=$Y$32),"small",IF(AND(E29="Secondary without sixth form",G29&gt;$Y$32,G29&lt;=$Z$32),"medium",IF(AND(E29="Secondary without sixth form",G29&gt;$Z$32),"large",""))))))))))</f>
        <v>large</v>
      </c>
      <c r="K29" s="197" t="str">
        <f>IF(AND(E29="Primary",H29&lt;=$X$35),"low levels of FSM",IF(AND(E29="Primary",H29&gt;$X$35,H29&lt;=$Y$35),"medium levels of FSM",IF(AND(E29="Primary",H29&gt;$Y$35),"high levels of FSM",
IF(AND(E29="Secondary with sixth form",H29&lt;=$X$36),"low levels of FSM",IF(AND(E29="Secondary with sixth form",H29&gt;$X$36,H29&lt;=$Y$36),"medium levels of FSM",IF(AND(E29="Secondary with sixth form",H29&gt;$Y$36),"high levels of FSM",
IF(AND(E29="Secondary without sixth form",H29&lt;=$X$37),"low levels of FSM",IF(AND(E29="Secondary without sixth form",H29&gt;$X$37,H29&lt;=$Y$37),"medium levels of FSM",IF(AND(E29="Secondary without sixth form",H29&gt;$Y$37),"high levels of FSM","")))))))))</f>
        <v>medium levels of FSM</v>
      </c>
      <c r="L29" s="197" t="str">
        <f>IF(E29="Primary","a primary school",IF(E29="Secondary with sixth form","a secondary school with a sixth form",IF(E29="Secondary without sixth form","a secondary school without a sixth form",IF(E29="Special","a special school",IF(E29="Alternative provision","an alternative provision school",IF(E29="All-through","an all-through school",IF(E29="Nursery","a nursery school","")))))))</f>
        <v>a secondary school with a sixth form</v>
      </c>
      <c r="M29" s="197" t="str">
        <f>IF(AND(E29="Primary",J29="very small"),$X$30&amp;" or fewer pupils",
IF(AND(E29="Primary",J29="small"),"between "&amp;$X$30+1&amp;" and "&amp;$Y$30&amp;" pupils",
IF(AND(E29="Primary",J29="medium"),"between "&amp;$Y$30+1&amp;" and "&amp;$Z$30&amp;" pupils",
IF(AND(E29="Primary",J29="large"),"more than "&amp;$Z$30&amp;" pupils",
IF(AND(E29="Secondary with sixth form",J29="small"),$Y$31&amp;" or fewer pupils",
IF(AND(E29="Secondary with sixth form",J29="medium"),"between "&amp;$Y$31+1&amp;" and "&amp;$Z$31&amp;" pupils",
IF(AND(E29="Secondary with sixth form",J29="large"),"more than "&amp;$Z$31&amp;" pupils",
IF(AND(E29="Secondary without sixth form",J29="small"),$Y$32&amp;" or fewer pupils",
IF(AND(E29="Secondary without sixth form",J29="medium"),"between "&amp;$Y$32+1&amp;" and "&amp;$Z$32&amp;" pupils",
IF(AND(E29="Secondary without sixth form",J29="large"),"more than "&amp;$Z$32&amp;" pupils",""))))))))))</f>
        <v>more than 1300 pupils</v>
      </c>
      <c r="N29" s="197" t="str">
        <f t="shared" ref="N29:N48" si="120">IF(AND(E29="Primary",K29="low levels of FSM"),"less than "&amp;$Z$35&amp;" of pupils",
IF(AND(E29="Primary",K29="medium levels of FSM"),"between "&amp;$Z$35&amp;" and "&amp;$AA$35&amp;" of pupils",
IF(AND(E29="Primary",K29="high levels of FSM"),"more than "&amp;$AA$35&amp;" of pupils",
IF(AND(E29="Secondary with sixth form",K29="low levels of FSM"),"less than "&amp;$Z$36&amp;" of pupils",
IF(AND(E29="Secondary with sixth form",K29="medium levels of FSM"),"between "&amp;$Z$36&amp;" and "&amp;$AA$36&amp;" of pupils",
IF(AND(E29="Secondary with sixth form",K29="high levels of FSM"),"more than "&amp;$AA$36&amp;" of pupils",
IF(AND(E29="Secondary without sixth form",K29="low levels of FSM"),"less than "&amp;$Z$37&amp;" of pupils",
IF(AND(E29="Secondary without sixth form",K29="medium levels of FSM"),"between "&amp;$Z$37&amp;" and "&amp;$AA$37&amp;" of pupils",
IF(AND(E29="Secondary without sixth form",K29="high levels of FSM"),"more than "&amp;$AA$37&amp;" of pupils","")))))))))</f>
        <v>between 6% and 16.5% of pupils</v>
      </c>
      <c r="W29" s="197"/>
      <c r="X29" s="197" t="s">
        <v>135</v>
      </c>
      <c r="Y29" s="197" t="s">
        <v>137</v>
      </c>
      <c r="Z29" s="197" t="s">
        <v>138</v>
      </c>
    </row>
    <row r="30" spans="1:161" x14ac:dyDescent="0.2">
      <c r="A30" s="196" t="str">
        <f>IF(Dashboard!L$13=0,"",Dashboard!L$13)</f>
        <v/>
      </c>
      <c r="B30" s="197">
        <v>2</v>
      </c>
      <c r="C30" s="197" t="s">
        <v>273</v>
      </c>
      <c r="D30" s="197" t="s">
        <v>264</v>
      </c>
      <c r="E30" s="198" t="str">
        <f>IF(Dashboard!L$14=0,"",Dashboard!L$14)</f>
        <v/>
      </c>
      <c r="F30" s="196" t="str">
        <f>IF(Dashboard!L$15=0,"",Dashboard!L$15)</f>
        <v/>
      </c>
      <c r="G30" s="196" t="str">
        <f>IF(Dashboard!L$16=0,"",Dashboard!L$16)</f>
        <v/>
      </c>
      <c r="H30" s="196" t="str">
        <f>IF(Dashboard!L$17=0,"",Dashboard!L$17)</f>
        <v/>
      </c>
      <c r="I30" s="197" t="str">
        <f t="shared" ref="I30:I48" si="121">IF(F30="","",IF(OR(F30="Inner London",F30="Outer London"),"in London","outside London"))</f>
        <v/>
      </c>
      <c r="J30" s="197" t="str">
        <f t="shared" ref="J30:J48" si="122">IF(AND(E30="Primary",G30&lt;=$X$30),"very small",IF(AND(E30="Primary",G30&lt;=$Y$30,G30&gt;$X$30),"small",IF(AND(E30="Primary",G30&gt;$Y$30,G30&lt;=$Z$30),"medium",IF(AND(E30="Primary",G30&gt;$Z$30),"large",
IF(AND(E30="Secondary with sixth form",G30&lt;=$Y$31),"small",IF(AND(E30="Secondary with sixth form",G30&gt;$Y$31,G30&lt;=$Z$31),"medium",IF(AND(E30="Secondary with sixth form",G30&gt;$Z$31),"large",
IF(AND(E30="Secondary without sixth form",G30&lt;=$Y$32),"small",IF(AND(E30="Secondary without sixth form",G30&gt;$Y$32,G30&lt;=$Z$32),"medium",IF(AND(E30="Secondary without sixth form",G30&gt;$Z$32),"large",""))))))))))</f>
        <v/>
      </c>
      <c r="K30" s="197" t="str">
        <f t="shared" ref="K30:K48" si="123">IF(AND(E30="Primary",H30&lt;=$X$35),"low levels of FSM",IF(AND(E30="Primary",H30&gt;$X$35,H30&lt;=$Y$35),"medium levels of FSM",IF(AND(E30="Primary",H30&gt;$Y$35),"high levels of FSM",
IF(AND(E30="Secondary with sixth form",H30&lt;=$X$36),"low levels of FSM",IF(AND(E30="Secondary with sixth form",H30&gt;$X$36,H30&lt;=$Y$36),"medium levels of FSM",IF(AND(E30="Secondary with sixth form",H30&gt;$Y$36),"high levels of FSM",
IF(AND(E30="Secondary without sixth form",H30&lt;=$X$37),"low levels of FSM",IF(AND(E30="Secondary without sixth form",H30&gt;$X$37,H30&lt;=$Y$37),"medium levels of FSM",IF(AND(E30="Secondary without sixth form",H30&gt;$Y$37),"high levels of FSM","")))))))))</f>
        <v/>
      </c>
      <c r="L30" s="197" t="str">
        <f t="shared" ref="L30:L48" si="124">IF(E30="Primary","a primary school",IF(E30="Secondary with sixth form","a secondary school with a sixth form",IF(E30="Secondary without sixth form","a secondary school without a sixth form",IF(E30="Special","a special school",IF(E30="Alternative provision","an alternative provision school",IF(E30="All-through","an all-through school",IF(E30="Nursery","a nursery school","")))))))</f>
        <v/>
      </c>
      <c r="M30" s="197" t="str">
        <f t="shared" ref="M30:M48" si="125">IF(AND(E30="Primary",J30="very small"),$X$30&amp;" or fewer pupils",
IF(AND(E30="Primary",J30="small"),"between "&amp;$X$30+1&amp;" and "&amp;$Y$30&amp;" pupils",
IF(AND(E30="Primary",J30="medium"),"between "&amp;$Y$30+1&amp;" and "&amp;$Z$30&amp;" pupils",
IF(AND(E30="Primary",J30="large"),"more than "&amp;$Z$30&amp;" pupils",
IF(AND(E30="Secondary with sixth form",J30="small"),$Y$31&amp;" or fewer pupils",
IF(AND(E30="Secondary with sixth form",J30="medium"),"between "&amp;$Y$31+1&amp;" and "&amp;$Z$31&amp;" pupils",
IF(AND(E30="Secondary with sixth form",J30="large"),"more than "&amp;$Z$31&amp;" pupils",
IF(AND(E30="Secondary without sixth form",J30="small"),$Y$32&amp;" or fewer pupils",
IF(AND(E30="Secondary without sixth form",J30="medium"),"between "&amp;$Y$32+1&amp;" and "&amp;$Z$32&amp;" pupils",
IF(AND(E30="Secondary without sixth form",J30="large"),"more than "&amp;$Z$32&amp;" pupils",""))))))))))</f>
        <v/>
      </c>
      <c r="N30" s="197" t="str">
        <f t="shared" si="120"/>
        <v/>
      </c>
      <c r="W30" s="197" t="s">
        <v>21</v>
      </c>
      <c r="X30" s="197">
        <v>100</v>
      </c>
      <c r="Y30" s="197">
        <v>175</v>
      </c>
      <c r="Z30" s="197">
        <v>385</v>
      </c>
    </row>
    <row r="31" spans="1:161" x14ac:dyDescent="0.2">
      <c r="A31" s="196" t="str">
        <f>IF(Dashboard!P$13=0,"",Dashboard!P$13)</f>
        <v/>
      </c>
      <c r="B31" s="197">
        <v>3</v>
      </c>
      <c r="C31" s="197" t="s">
        <v>277</v>
      </c>
      <c r="D31" s="197" t="s">
        <v>300</v>
      </c>
      <c r="E31" s="198" t="str">
        <f>IF(Dashboard!P$14=0,"",Dashboard!P$14)</f>
        <v/>
      </c>
      <c r="F31" s="196" t="str">
        <f>IF(Dashboard!P$15=0,"",Dashboard!P$15)</f>
        <v/>
      </c>
      <c r="G31" s="196" t="str">
        <f>IF(Dashboard!P$16=0,"",Dashboard!P$16)</f>
        <v/>
      </c>
      <c r="H31" s="196" t="str">
        <f>IF(Dashboard!P$17=0,"",Dashboard!P$17)</f>
        <v/>
      </c>
      <c r="I31" s="197" t="str">
        <f t="shared" si="121"/>
        <v/>
      </c>
      <c r="J31" s="197" t="str">
        <f t="shared" si="122"/>
        <v/>
      </c>
      <c r="K31" s="197" t="str">
        <f t="shared" si="123"/>
        <v/>
      </c>
      <c r="L31" s="197" t="str">
        <f t="shared" si="124"/>
        <v/>
      </c>
      <c r="M31" s="197" t="str">
        <f t="shared" si="125"/>
        <v/>
      </c>
      <c r="N31" s="197" t="str">
        <f t="shared" si="120"/>
        <v/>
      </c>
      <c r="W31" s="197" t="s">
        <v>130</v>
      </c>
      <c r="X31" s="197"/>
      <c r="Y31" s="197">
        <v>770</v>
      </c>
      <c r="Z31" s="197">
        <v>1300</v>
      </c>
    </row>
    <row r="32" spans="1:161" x14ac:dyDescent="0.2">
      <c r="A32" s="196" t="str">
        <f>IF(Dashboard!T$13=0,"",Dashboard!T$13)</f>
        <v/>
      </c>
      <c r="B32" s="197">
        <v>4</v>
      </c>
      <c r="C32" s="197" t="s">
        <v>280</v>
      </c>
      <c r="D32" s="197" t="s">
        <v>265</v>
      </c>
      <c r="E32" s="198" t="str">
        <f>IF(Dashboard!T$14=0,"",Dashboard!T$14)</f>
        <v/>
      </c>
      <c r="F32" s="196" t="str">
        <f>IF(Dashboard!T$15=0,"",Dashboard!T$15)</f>
        <v/>
      </c>
      <c r="G32" s="196" t="str">
        <f>IF(Dashboard!T$16=0,"",Dashboard!T$16)</f>
        <v/>
      </c>
      <c r="H32" s="196" t="str">
        <f>IF(Dashboard!T$17=0,"",Dashboard!T$17)</f>
        <v/>
      </c>
      <c r="I32" s="197" t="str">
        <f t="shared" si="121"/>
        <v/>
      </c>
      <c r="J32" s="197" t="str">
        <f t="shared" si="122"/>
        <v/>
      </c>
      <c r="K32" s="197" t="str">
        <f t="shared" si="123"/>
        <v/>
      </c>
      <c r="L32" s="197" t="str">
        <f t="shared" si="124"/>
        <v/>
      </c>
      <c r="M32" s="197" t="str">
        <f t="shared" si="125"/>
        <v/>
      </c>
      <c r="N32" s="197" t="str">
        <f t="shared" si="120"/>
        <v/>
      </c>
      <c r="W32" s="197" t="s">
        <v>131</v>
      </c>
      <c r="X32" s="197"/>
      <c r="Y32" s="197">
        <v>485</v>
      </c>
      <c r="Z32" s="197">
        <v>935</v>
      </c>
    </row>
    <row r="33" spans="1:27" x14ac:dyDescent="0.2">
      <c r="A33" s="196" t="str">
        <f>IF(Dashboard!X$13=0,"",Dashboard!X$13)</f>
        <v/>
      </c>
      <c r="B33" s="197">
        <v>5</v>
      </c>
      <c r="C33" s="197" t="s">
        <v>281</v>
      </c>
      <c r="D33" s="197" t="s">
        <v>266</v>
      </c>
      <c r="E33" s="198" t="str">
        <f>IF(Dashboard!X$14=0,"",Dashboard!X$14)</f>
        <v/>
      </c>
      <c r="F33" s="196" t="str">
        <f>IF(Dashboard!X$15=0,"",Dashboard!X$15)</f>
        <v/>
      </c>
      <c r="G33" s="196" t="str">
        <f>IF(Dashboard!X$16=0,"",Dashboard!X$16)</f>
        <v/>
      </c>
      <c r="H33" s="196" t="str">
        <f>IF(Dashboard!X$17=0,"",Dashboard!X$17)</f>
        <v/>
      </c>
      <c r="I33" s="197" t="str">
        <f t="shared" si="121"/>
        <v/>
      </c>
      <c r="J33" s="197" t="str">
        <f t="shared" si="122"/>
        <v/>
      </c>
      <c r="K33" s="197" t="str">
        <f t="shared" si="123"/>
        <v/>
      </c>
      <c r="L33" s="197" t="str">
        <f t="shared" si="124"/>
        <v/>
      </c>
      <c r="M33" s="197" t="str">
        <f t="shared" si="125"/>
        <v/>
      </c>
      <c r="N33" s="197" t="str">
        <f t="shared" si="120"/>
        <v/>
      </c>
    </row>
    <row r="34" spans="1:27" x14ac:dyDescent="0.2">
      <c r="A34" s="196" t="str">
        <f>IF(Dashboard!AB$13=0,"",Dashboard!AB$13)</f>
        <v/>
      </c>
      <c r="B34" s="197">
        <v>6</v>
      </c>
      <c r="C34" s="197" t="s">
        <v>282</v>
      </c>
      <c r="D34" s="197" t="s">
        <v>267</v>
      </c>
      <c r="E34" s="198" t="str">
        <f>IF(Dashboard!AB$14=0,"",Dashboard!AB$14)</f>
        <v/>
      </c>
      <c r="F34" s="196" t="str">
        <f>IF(Dashboard!AB$15=0,"",Dashboard!AB$15)</f>
        <v/>
      </c>
      <c r="G34" s="196" t="str">
        <f>IF(Dashboard!AB$16=0,"",Dashboard!AB$16)</f>
        <v/>
      </c>
      <c r="H34" s="196" t="str">
        <f>IF(Dashboard!AB$17=0,"",Dashboard!AB$17)</f>
        <v/>
      </c>
      <c r="I34" s="197" t="str">
        <f t="shared" si="121"/>
        <v/>
      </c>
      <c r="J34" s="197" t="str">
        <f t="shared" si="122"/>
        <v/>
      </c>
      <c r="K34" s="197" t="str">
        <f t="shared" si="123"/>
        <v/>
      </c>
      <c r="L34" s="197" t="str">
        <f t="shared" si="124"/>
        <v/>
      </c>
      <c r="M34" s="197" t="str">
        <f t="shared" si="125"/>
        <v/>
      </c>
      <c r="N34" s="197" t="str">
        <f t="shared" si="120"/>
        <v/>
      </c>
      <c r="O34" s="199"/>
      <c r="P34" s="199"/>
      <c r="Q34" s="199"/>
      <c r="W34" s="197"/>
      <c r="X34" s="197" t="s">
        <v>307</v>
      </c>
      <c r="Y34" s="197" t="s">
        <v>138</v>
      </c>
    </row>
    <row r="35" spans="1:27" x14ac:dyDescent="0.2">
      <c r="A35" s="196" t="str">
        <f>IF(Dashboard!AF$13=0,"",Dashboard!AF$13)</f>
        <v/>
      </c>
      <c r="B35" s="197">
        <v>7</v>
      </c>
      <c r="C35" s="197" t="s">
        <v>283</v>
      </c>
      <c r="D35" s="197" t="s">
        <v>268</v>
      </c>
      <c r="E35" s="198" t="str">
        <f>IF(Dashboard!AF$14=0,"",Dashboard!AF$14)</f>
        <v/>
      </c>
      <c r="F35" s="196" t="str">
        <f>IF(Dashboard!AF$15=0,"",Dashboard!AF$15)</f>
        <v/>
      </c>
      <c r="G35" s="196" t="str">
        <f>IF(Dashboard!AF$16=0,"",Dashboard!AF$16)</f>
        <v/>
      </c>
      <c r="H35" s="196" t="str">
        <f>IF(Dashboard!AF$17=0,"",Dashboard!AF$17)</f>
        <v/>
      </c>
      <c r="I35" s="197" t="str">
        <f t="shared" si="121"/>
        <v/>
      </c>
      <c r="J35" s="197" t="str">
        <f t="shared" si="122"/>
        <v/>
      </c>
      <c r="K35" s="197" t="str">
        <f t="shared" si="123"/>
        <v/>
      </c>
      <c r="L35" s="197" t="str">
        <f t="shared" si="124"/>
        <v/>
      </c>
      <c r="M35" s="197" t="str">
        <f t="shared" si="125"/>
        <v/>
      </c>
      <c r="N35" s="197" t="str">
        <f t="shared" si="120"/>
        <v/>
      </c>
      <c r="W35" s="197" t="s">
        <v>21</v>
      </c>
      <c r="X35" s="197">
        <v>0.05</v>
      </c>
      <c r="Y35" s="197">
        <v>0.18</v>
      </c>
      <c r="Z35" s="216" t="str">
        <f t="shared" ref="Z35:AA37" si="126">(X35*100)&amp;"%"</f>
        <v>5%</v>
      </c>
      <c r="AA35" s="216" t="str">
        <f t="shared" si="126"/>
        <v>18%</v>
      </c>
    </row>
    <row r="36" spans="1:27" x14ac:dyDescent="0.2">
      <c r="A36" s="196" t="str">
        <f>IF(Dashboard!AJ$13=0,"",Dashboard!AJ$13)</f>
        <v/>
      </c>
      <c r="B36" s="197">
        <v>8</v>
      </c>
      <c r="C36" s="197" t="s">
        <v>284</v>
      </c>
      <c r="D36" s="197" t="s">
        <v>269</v>
      </c>
      <c r="E36" s="198" t="str">
        <f>IF(Dashboard!AJ$14=0,"",Dashboard!AJ$14)</f>
        <v/>
      </c>
      <c r="F36" s="196" t="str">
        <f>IF(Dashboard!AJ$15=0,"",Dashboard!AJ$15)</f>
        <v/>
      </c>
      <c r="G36" s="196" t="str">
        <f>IF(Dashboard!AJ$16=0,"",Dashboard!AJ$16)</f>
        <v/>
      </c>
      <c r="H36" s="196" t="str">
        <f>IF(Dashboard!AJ$17=0,"",Dashboard!AJ$17)</f>
        <v/>
      </c>
      <c r="I36" s="197" t="str">
        <f t="shared" si="121"/>
        <v/>
      </c>
      <c r="J36" s="197" t="str">
        <f t="shared" si="122"/>
        <v/>
      </c>
      <c r="K36" s="197" t="str">
        <f t="shared" si="123"/>
        <v/>
      </c>
      <c r="L36" s="197" t="str">
        <f t="shared" si="124"/>
        <v/>
      </c>
      <c r="M36" s="197" t="str">
        <f t="shared" si="125"/>
        <v/>
      </c>
      <c r="N36" s="197" t="str">
        <f t="shared" si="120"/>
        <v/>
      </c>
      <c r="W36" s="197" t="s">
        <v>130</v>
      </c>
      <c r="X36" s="197">
        <v>0.06</v>
      </c>
      <c r="Y36" s="197">
        <v>0.16500000000000001</v>
      </c>
      <c r="Z36" s="216" t="str">
        <f t="shared" si="126"/>
        <v>6%</v>
      </c>
      <c r="AA36" s="216" t="str">
        <f t="shared" si="126"/>
        <v>16.5%</v>
      </c>
    </row>
    <row r="37" spans="1:27" x14ac:dyDescent="0.2">
      <c r="A37" s="196" t="str">
        <f>IF(Dashboard!AN$13=0,"",Dashboard!AN$13)</f>
        <v/>
      </c>
      <c r="B37" s="197">
        <v>9</v>
      </c>
      <c r="C37" s="197" t="s">
        <v>285</v>
      </c>
      <c r="D37" s="197" t="s">
        <v>270</v>
      </c>
      <c r="E37" s="198" t="str">
        <f>IF(Dashboard!AN$14=0,"",Dashboard!AN$14)</f>
        <v/>
      </c>
      <c r="F37" s="196" t="str">
        <f>IF(Dashboard!AN$15=0,"",Dashboard!AN$15)</f>
        <v/>
      </c>
      <c r="G37" s="196" t="str">
        <f>IF(Dashboard!AN$16=0,"",Dashboard!AN$16)</f>
        <v/>
      </c>
      <c r="H37" s="196" t="str">
        <f>IF(Dashboard!AN$17=0,"",Dashboard!AN$17)</f>
        <v/>
      </c>
      <c r="I37" s="197" t="str">
        <f t="shared" si="121"/>
        <v/>
      </c>
      <c r="J37" s="197" t="str">
        <f t="shared" si="122"/>
        <v/>
      </c>
      <c r="K37" s="197" t="str">
        <f t="shared" si="123"/>
        <v/>
      </c>
      <c r="L37" s="197" t="str">
        <f t="shared" si="124"/>
        <v/>
      </c>
      <c r="M37" s="197" t="str">
        <f t="shared" si="125"/>
        <v/>
      </c>
      <c r="N37" s="197" t="str">
        <f t="shared" si="120"/>
        <v/>
      </c>
      <c r="W37" s="197" t="s">
        <v>131</v>
      </c>
      <c r="X37" s="197">
        <v>0.08</v>
      </c>
      <c r="Y37" s="197">
        <v>0.215</v>
      </c>
      <c r="Z37" s="216" t="str">
        <f t="shared" si="126"/>
        <v>8%</v>
      </c>
      <c r="AA37" s="216" t="str">
        <f t="shared" si="126"/>
        <v>21.5%</v>
      </c>
    </row>
    <row r="38" spans="1:27" x14ac:dyDescent="0.2">
      <c r="A38" s="196" t="str">
        <f>IF(Dashboard!AR$13=0,"",Dashboard!AR$13)</f>
        <v/>
      </c>
      <c r="B38" s="197">
        <v>10</v>
      </c>
      <c r="C38" s="197" t="s">
        <v>286</v>
      </c>
      <c r="D38" s="197" t="s">
        <v>271</v>
      </c>
      <c r="E38" s="198" t="str">
        <f>IF(Dashboard!AR$14=0,"",Dashboard!AR$14)</f>
        <v/>
      </c>
      <c r="F38" s="196" t="str">
        <f>IF(Dashboard!AR$15=0,"",Dashboard!AR$15)</f>
        <v/>
      </c>
      <c r="G38" s="196" t="str">
        <f>IF(Dashboard!AR$16=0,"",Dashboard!AR$16)</f>
        <v/>
      </c>
      <c r="H38" s="196" t="str">
        <f>IF(Dashboard!AR$17=0,"",Dashboard!AR$17)</f>
        <v/>
      </c>
      <c r="I38" s="197" t="str">
        <f t="shared" si="121"/>
        <v/>
      </c>
      <c r="J38" s="197" t="str">
        <f t="shared" si="122"/>
        <v/>
      </c>
      <c r="K38" s="197" t="str">
        <f t="shared" si="123"/>
        <v/>
      </c>
      <c r="L38" s="197" t="str">
        <f t="shared" si="124"/>
        <v/>
      </c>
      <c r="M38" s="197" t="str">
        <f t="shared" si="125"/>
        <v/>
      </c>
      <c r="N38" s="197" t="str">
        <f t="shared" si="120"/>
        <v/>
      </c>
    </row>
    <row r="39" spans="1:27" x14ac:dyDescent="0.2">
      <c r="A39" s="196" t="str">
        <f>IF(Dashboard!AV$13=0,"",Dashboard!AV$13)</f>
        <v/>
      </c>
      <c r="B39" s="197">
        <v>11</v>
      </c>
      <c r="C39" s="197" t="s">
        <v>287</v>
      </c>
      <c r="D39" s="197" t="s">
        <v>272</v>
      </c>
      <c r="E39" s="198" t="str">
        <f>IF(Dashboard!AV$14=0,"",Dashboard!AV$14)</f>
        <v/>
      </c>
      <c r="F39" s="196" t="str">
        <f>IF(Dashboard!AV$15=0,"",Dashboard!AV$15)</f>
        <v/>
      </c>
      <c r="G39" s="196" t="str">
        <f>IF(Dashboard!AV$16=0,"",Dashboard!AV$16)</f>
        <v/>
      </c>
      <c r="H39" s="196" t="str">
        <f>IF(Dashboard!AV$17=0,"",Dashboard!AV$17)</f>
        <v/>
      </c>
      <c r="I39" s="197" t="str">
        <f t="shared" si="121"/>
        <v/>
      </c>
      <c r="J39" s="197" t="str">
        <f t="shared" si="122"/>
        <v/>
      </c>
      <c r="K39" s="197" t="str">
        <f t="shared" si="123"/>
        <v/>
      </c>
      <c r="L39" s="197" t="str">
        <f t="shared" si="124"/>
        <v/>
      </c>
      <c r="M39" s="197" t="str">
        <f t="shared" si="125"/>
        <v/>
      </c>
      <c r="N39" s="197" t="str">
        <f t="shared" si="120"/>
        <v/>
      </c>
    </row>
    <row r="40" spans="1:27" x14ac:dyDescent="0.2">
      <c r="A40" s="196" t="str">
        <f>IF(Dashboard!AZ$13=0,"",Dashboard!AZ$13)</f>
        <v/>
      </c>
      <c r="B40" s="197">
        <v>12</v>
      </c>
      <c r="C40" s="197" t="s">
        <v>288</v>
      </c>
      <c r="D40" s="197" t="s">
        <v>273</v>
      </c>
      <c r="E40" s="198" t="str">
        <f>IF(Dashboard!AZ$14=0,"",Dashboard!AZ$14)</f>
        <v/>
      </c>
      <c r="F40" s="196" t="str">
        <f>IF(Dashboard!AZ$15=0,"",Dashboard!AZ$15)</f>
        <v/>
      </c>
      <c r="G40" s="196" t="str">
        <f>IF(Dashboard!AZ$16=0,"",Dashboard!AZ$16)</f>
        <v/>
      </c>
      <c r="H40" s="196" t="str">
        <f>IF(Dashboard!AZ$17=0,"",Dashboard!AZ$17)</f>
        <v/>
      </c>
      <c r="I40" s="197" t="str">
        <f t="shared" si="121"/>
        <v/>
      </c>
      <c r="J40" s="197" t="str">
        <f t="shared" si="122"/>
        <v/>
      </c>
      <c r="K40" s="197" t="str">
        <f t="shared" si="123"/>
        <v/>
      </c>
      <c r="L40" s="197" t="str">
        <f t="shared" si="124"/>
        <v/>
      </c>
      <c r="M40" s="197" t="str">
        <f t="shared" si="125"/>
        <v/>
      </c>
      <c r="N40" s="197" t="str">
        <f t="shared" si="120"/>
        <v/>
      </c>
    </row>
    <row r="41" spans="1:27" x14ac:dyDescent="0.2">
      <c r="A41" s="196" t="str">
        <f>IF(Dashboard!BD$13=0,"",Dashboard!BD$13)</f>
        <v/>
      </c>
      <c r="B41" s="197">
        <v>13</v>
      </c>
      <c r="C41" s="197" t="s">
        <v>289</v>
      </c>
      <c r="D41" s="197" t="s">
        <v>274</v>
      </c>
      <c r="E41" s="198" t="str">
        <f>IF(Dashboard!BD$14=0,"",Dashboard!BD$14)</f>
        <v/>
      </c>
      <c r="F41" s="196" t="str">
        <f>IF(Dashboard!BD$15=0,"",Dashboard!BD$15)</f>
        <v/>
      </c>
      <c r="G41" s="196" t="str">
        <f>IF(Dashboard!BD$16=0,"",Dashboard!BD$16)</f>
        <v/>
      </c>
      <c r="H41" s="196" t="str">
        <f>IF(Dashboard!BD$17=0,"",Dashboard!BD$17)</f>
        <v/>
      </c>
      <c r="I41" s="197" t="str">
        <f t="shared" si="121"/>
        <v/>
      </c>
      <c r="J41" s="197" t="str">
        <f t="shared" si="122"/>
        <v/>
      </c>
      <c r="K41" s="197" t="str">
        <f t="shared" si="123"/>
        <v/>
      </c>
      <c r="L41" s="197" t="str">
        <f t="shared" si="124"/>
        <v/>
      </c>
      <c r="M41" s="197" t="str">
        <f t="shared" si="125"/>
        <v/>
      </c>
      <c r="N41" s="197" t="str">
        <f t="shared" si="120"/>
        <v/>
      </c>
    </row>
    <row r="42" spans="1:27" x14ac:dyDescent="0.2">
      <c r="A42" s="196" t="str">
        <f>IF(Dashboard!BH$13=0,"",Dashboard!BH$13)</f>
        <v/>
      </c>
      <c r="B42" s="197">
        <v>14</v>
      </c>
      <c r="C42" s="197" t="s">
        <v>290</v>
      </c>
      <c r="D42" s="197" t="s">
        <v>275</v>
      </c>
      <c r="E42" s="198" t="str">
        <f>IF(Dashboard!BH$14=0,"",Dashboard!BH$14)</f>
        <v/>
      </c>
      <c r="F42" s="196" t="str">
        <f>IF(Dashboard!BH$15=0,"",Dashboard!BH$15)</f>
        <v/>
      </c>
      <c r="G42" s="196" t="str">
        <f>IF(Dashboard!BH$16=0,"",Dashboard!BH$16)</f>
        <v/>
      </c>
      <c r="H42" s="196" t="str">
        <f>IF(Dashboard!BH$17=0,"",Dashboard!BH$17)</f>
        <v/>
      </c>
      <c r="I42" s="197" t="str">
        <f t="shared" si="121"/>
        <v/>
      </c>
      <c r="J42" s="197" t="str">
        <f t="shared" si="122"/>
        <v/>
      </c>
      <c r="K42" s="197" t="str">
        <f t="shared" si="123"/>
        <v/>
      </c>
      <c r="L42" s="197" t="str">
        <f t="shared" si="124"/>
        <v/>
      </c>
      <c r="M42" s="197" t="str">
        <f t="shared" si="125"/>
        <v/>
      </c>
      <c r="N42" s="197" t="str">
        <f t="shared" si="120"/>
        <v/>
      </c>
    </row>
    <row r="43" spans="1:27" x14ac:dyDescent="0.2">
      <c r="A43" s="196" t="str">
        <f>IF(Dashboard!BL$13=0,"",Dashboard!BL$13)</f>
        <v/>
      </c>
      <c r="B43" s="197">
        <v>15</v>
      </c>
      <c r="C43" s="197" t="s">
        <v>291</v>
      </c>
      <c r="D43" s="197" t="s">
        <v>276</v>
      </c>
      <c r="E43" s="198" t="str">
        <f>IF(Dashboard!BL$14=0,"",Dashboard!BL$14)</f>
        <v/>
      </c>
      <c r="F43" s="196" t="str">
        <f>IF(Dashboard!BL$15=0,"",Dashboard!BL$15)</f>
        <v/>
      </c>
      <c r="G43" s="196" t="str">
        <f>IF(Dashboard!BL$16=0,"",Dashboard!BL$16)</f>
        <v/>
      </c>
      <c r="H43" s="196" t="str">
        <f>IF(Dashboard!BL$17=0,"",Dashboard!BL$17)</f>
        <v/>
      </c>
      <c r="I43" s="197" t="str">
        <f t="shared" si="121"/>
        <v/>
      </c>
      <c r="J43" s="197" t="str">
        <f t="shared" si="122"/>
        <v/>
      </c>
      <c r="K43" s="197" t="str">
        <f t="shared" si="123"/>
        <v/>
      </c>
      <c r="L43" s="197" t="str">
        <f t="shared" si="124"/>
        <v/>
      </c>
      <c r="M43" s="197" t="str">
        <f t="shared" si="125"/>
        <v/>
      </c>
      <c r="N43" s="197" t="str">
        <f t="shared" si="120"/>
        <v/>
      </c>
    </row>
    <row r="44" spans="1:27" x14ac:dyDescent="0.2">
      <c r="A44" s="196" t="str">
        <f>IF(Dashboard!BP$13=0,"",Dashboard!BP$13)</f>
        <v/>
      </c>
      <c r="B44" s="197">
        <v>16</v>
      </c>
      <c r="C44" s="197" t="s">
        <v>292</v>
      </c>
      <c r="D44" s="197" t="s">
        <v>277</v>
      </c>
      <c r="E44" s="198" t="str">
        <f>IF(Dashboard!BP$14=0,"",Dashboard!BP$14)</f>
        <v/>
      </c>
      <c r="F44" s="196" t="str">
        <f>IF(Dashboard!BP$15=0,"",Dashboard!BP$15)</f>
        <v/>
      </c>
      <c r="G44" s="196" t="str">
        <f>IF(Dashboard!BP$16=0,"",Dashboard!BP$16)</f>
        <v/>
      </c>
      <c r="H44" s="196" t="str">
        <f>IF(Dashboard!BP$17=0,"",Dashboard!BP$17)</f>
        <v/>
      </c>
      <c r="I44" s="197" t="str">
        <f t="shared" si="121"/>
        <v/>
      </c>
      <c r="J44" s="197" t="str">
        <f t="shared" si="122"/>
        <v/>
      </c>
      <c r="K44" s="197" t="str">
        <f t="shared" si="123"/>
        <v/>
      </c>
      <c r="L44" s="197" t="str">
        <f t="shared" si="124"/>
        <v/>
      </c>
      <c r="M44" s="197" t="str">
        <f t="shared" si="125"/>
        <v/>
      </c>
      <c r="N44" s="197" t="str">
        <f t="shared" si="120"/>
        <v/>
      </c>
    </row>
    <row r="45" spans="1:27" x14ac:dyDescent="0.2">
      <c r="A45" s="196" t="str">
        <f>IF(Dashboard!BT$13=0,"",Dashboard!BT$13)</f>
        <v/>
      </c>
      <c r="B45" s="197">
        <v>17</v>
      </c>
      <c r="C45" s="197" t="s">
        <v>293</v>
      </c>
      <c r="D45" s="197" t="s">
        <v>278</v>
      </c>
      <c r="E45" s="198" t="str">
        <f>IF(Dashboard!BT$14=0,"",Dashboard!BT$14)</f>
        <v/>
      </c>
      <c r="F45" s="196" t="str">
        <f>IF(Dashboard!BT$15=0,"",Dashboard!BT$15)</f>
        <v/>
      </c>
      <c r="G45" s="196" t="str">
        <f>IF(Dashboard!BT$16=0,"",Dashboard!BT$16)</f>
        <v/>
      </c>
      <c r="H45" s="196" t="str">
        <f>IF(Dashboard!BT$17=0,"",Dashboard!BT$17)</f>
        <v/>
      </c>
      <c r="I45" s="197" t="str">
        <f t="shared" si="121"/>
        <v/>
      </c>
      <c r="J45" s="197" t="str">
        <f t="shared" si="122"/>
        <v/>
      </c>
      <c r="K45" s="197" t="str">
        <f t="shared" si="123"/>
        <v/>
      </c>
      <c r="L45" s="197" t="str">
        <f t="shared" si="124"/>
        <v/>
      </c>
      <c r="M45" s="197" t="str">
        <f t="shared" si="125"/>
        <v/>
      </c>
      <c r="N45" s="197" t="str">
        <f t="shared" si="120"/>
        <v/>
      </c>
    </row>
    <row r="46" spans="1:27" x14ac:dyDescent="0.2">
      <c r="A46" s="196" t="str">
        <f>IF(Dashboard!BX$13=0,"",Dashboard!BX$13)</f>
        <v/>
      </c>
      <c r="B46" s="197">
        <v>18</v>
      </c>
      <c r="C46" s="197" t="s">
        <v>294</v>
      </c>
      <c r="D46" s="197" t="s">
        <v>301</v>
      </c>
      <c r="E46" s="198" t="str">
        <f>IF(Dashboard!BX$14=0,"",Dashboard!BX$14)</f>
        <v/>
      </c>
      <c r="F46" s="196" t="str">
        <f>IF(Dashboard!BX$15=0,"",Dashboard!BX$15)</f>
        <v/>
      </c>
      <c r="G46" s="196" t="str">
        <f>IF(Dashboard!BX$16=0,"",Dashboard!BX$16)</f>
        <v/>
      </c>
      <c r="H46" s="196" t="str">
        <f>IF(Dashboard!BX$17=0,"",Dashboard!BX$17)</f>
        <v/>
      </c>
      <c r="I46" s="197" t="str">
        <f t="shared" si="121"/>
        <v/>
      </c>
      <c r="J46" s="197" t="str">
        <f t="shared" si="122"/>
        <v/>
      </c>
      <c r="K46" s="197" t="str">
        <f t="shared" si="123"/>
        <v/>
      </c>
      <c r="L46" s="197" t="str">
        <f t="shared" si="124"/>
        <v/>
      </c>
      <c r="M46" s="197" t="str">
        <f t="shared" si="125"/>
        <v/>
      </c>
      <c r="N46" s="197" t="str">
        <f t="shared" si="120"/>
        <v/>
      </c>
    </row>
    <row r="47" spans="1:27" x14ac:dyDescent="0.2">
      <c r="A47" s="196" t="str">
        <f>IF(Dashboard!CB$13=0,"",Dashboard!CB$13)</f>
        <v/>
      </c>
      <c r="B47" s="197">
        <v>19</v>
      </c>
      <c r="C47" s="197" t="s">
        <v>295</v>
      </c>
      <c r="D47" s="197" t="s">
        <v>279</v>
      </c>
      <c r="E47" s="198" t="str">
        <f>IF(Dashboard!CB$14=0,"",Dashboard!CB$14)</f>
        <v/>
      </c>
      <c r="F47" s="196" t="str">
        <f>IF(Dashboard!CB$15=0,"",Dashboard!CB$15)</f>
        <v/>
      </c>
      <c r="G47" s="196" t="str">
        <f>IF(Dashboard!CB$16=0,"",Dashboard!CB$16)</f>
        <v/>
      </c>
      <c r="H47" s="196" t="str">
        <f>IF(Dashboard!CB$17=0,"",Dashboard!CB$17)</f>
        <v/>
      </c>
      <c r="I47" s="197" t="str">
        <f t="shared" si="121"/>
        <v/>
      </c>
      <c r="J47" s="197" t="str">
        <f t="shared" si="122"/>
        <v/>
      </c>
      <c r="K47" s="197" t="str">
        <f t="shared" si="123"/>
        <v/>
      </c>
      <c r="L47" s="197" t="str">
        <f t="shared" si="124"/>
        <v/>
      </c>
      <c r="M47" s="197" t="str">
        <f t="shared" si="125"/>
        <v/>
      </c>
      <c r="N47" s="197" t="str">
        <f t="shared" si="120"/>
        <v/>
      </c>
    </row>
    <row r="48" spans="1:27" x14ac:dyDescent="0.2">
      <c r="A48" s="196" t="str">
        <f>IF(Dashboard!CF$13=0,"",Dashboard!CF$13)</f>
        <v/>
      </c>
      <c r="B48" s="197">
        <v>20</v>
      </c>
      <c r="C48" s="197" t="s">
        <v>296</v>
      </c>
      <c r="D48" s="197" t="s">
        <v>280</v>
      </c>
      <c r="E48" s="198" t="str">
        <f>IF(Dashboard!CF$14=0,"",Dashboard!CF$14)</f>
        <v/>
      </c>
      <c r="F48" s="196" t="str">
        <f>IF(Dashboard!CF$15=0,"",Dashboard!CF$15)</f>
        <v/>
      </c>
      <c r="G48" s="196" t="str">
        <f>IF(Dashboard!CF$16=0,"",Dashboard!CF$16)</f>
        <v/>
      </c>
      <c r="H48" s="196" t="str">
        <f>IF(Dashboard!CF$17=0,"",Dashboard!CF$17)</f>
        <v/>
      </c>
      <c r="I48" s="197" t="str">
        <f t="shared" si="121"/>
        <v/>
      </c>
      <c r="J48" s="197" t="str">
        <f t="shared" si="122"/>
        <v/>
      </c>
      <c r="K48" s="197" t="str">
        <f t="shared" si="123"/>
        <v/>
      </c>
      <c r="L48" s="197" t="str">
        <f t="shared" si="124"/>
        <v/>
      </c>
      <c r="M48" s="197" t="str">
        <f t="shared" si="125"/>
        <v/>
      </c>
      <c r="N48" s="197" t="str">
        <f t="shared" si="120"/>
        <v/>
      </c>
    </row>
    <row r="52" spans="1:2" s="180" customFormat="1" ht="15" x14ac:dyDescent="0.25">
      <c r="A52" s="180" t="s">
        <v>304</v>
      </c>
    </row>
    <row r="54" spans="1:2" x14ac:dyDescent="0.2">
      <c r="A54" s="183" t="s">
        <v>38</v>
      </c>
      <c r="B54" s="183" t="s">
        <v>46</v>
      </c>
    </row>
    <row r="55" spans="1:2" x14ac:dyDescent="0.2">
      <c r="A55" s="183" t="s">
        <v>39</v>
      </c>
      <c r="B55" s="183" t="s">
        <v>45</v>
      </c>
    </row>
    <row r="56" spans="1:2" x14ac:dyDescent="0.2">
      <c r="A56" s="183" t="s">
        <v>157</v>
      </c>
      <c r="B56" s="183" t="s">
        <v>161</v>
      </c>
    </row>
    <row r="57" spans="1:2" x14ac:dyDescent="0.2">
      <c r="A57" s="183" t="s">
        <v>37</v>
      </c>
      <c r="B57" s="183" t="s">
        <v>47</v>
      </c>
    </row>
    <row r="58" spans="1:2" x14ac:dyDescent="0.2">
      <c r="A58" s="183" t="s">
        <v>40</v>
      </c>
      <c r="B58" s="183" t="s">
        <v>48</v>
      </c>
    </row>
    <row r="59" spans="1:2" x14ac:dyDescent="0.2">
      <c r="A59" s="183" t="s">
        <v>41</v>
      </c>
    </row>
    <row r="60" spans="1:2" x14ac:dyDescent="0.2">
      <c r="B60" s="183" t="s">
        <v>15</v>
      </c>
    </row>
    <row r="61" spans="1:2" x14ac:dyDescent="0.2">
      <c r="B61" s="183" t="s">
        <v>162</v>
      </c>
    </row>
    <row r="62" spans="1:2" x14ac:dyDescent="0.2">
      <c r="A62" s="183" t="s">
        <v>158</v>
      </c>
      <c r="B62" s="183" t="s">
        <v>126</v>
      </c>
    </row>
    <row r="63" spans="1:2" x14ac:dyDescent="0.2">
      <c r="A63" s="183" t="s">
        <v>159</v>
      </c>
      <c r="B63" s="183" t="s">
        <v>170</v>
      </c>
    </row>
    <row r="64" spans="1:2" x14ac:dyDescent="0.2">
      <c r="A64" s="183" t="s">
        <v>160</v>
      </c>
    </row>
    <row r="65" spans="1:2" x14ac:dyDescent="0.2">
      <c r="B65" s="183" t="s">
        <v>42</v>
      </c>
    </row>
    <row r="66" spans="1:2" x14ac:dyDescent="0.2">
      <c r="B66" s="183" t="s">
        <v>43</v>
      </c>
    </row>
    <row r="67" spans="1:2" x14ac:dyDescent="0.2">
      <c r="B67" s="183" t="s">
        <v>49</v>
      </c>
    </row>
    <row r="68" spans="1:2" x14ac:dyDescent="0.2">
      <c r="B68" s="183" t="s">
        <v>44</v>
      </c>
    </row>
    <row r="71" spans="1:2" x14ac:dyDescent="0.2">
      <c r="A71" s="183" t="s">
        <v>21</v>
      </c>
    </row>
    <row r="72" spans="1:2" x14ac:dyDescent="0.2">
      <c r="A72" s="183" t="s">
        <v>130</v>
      </c>
    </row>
    <row r="73" spans="1:2" x14ac:dyDescent="0.2">
      <c r="A73" s="183" t="s">
        <v>131</v>
      </c>
    </row>
    <row r="74" spans="1:2" x14ac:dyDescent="0.2">
      <c r="A74" s="183" t="s">
        <v>22</v>
      </c>
    </row>
    <row r="75" spans="1:2" x14ac:dyDescent="0.2">
      <c r="A75" s="197" t="str">
        <f>""</f>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203167790BB6488A0556DFCA30F306" ma:contentTypeVersion="10" ma:contentTypeDescription="Create a new document." ma:contentTypeScope="" ma:versionID="7dc51d47145d0ba33172ebd94dcb174d">
  <xsd:schema xmlns:xsd="http://www.w3.org/2001/XMLSchema" xmlns:xs="http://www.w3.org/2001/XMLSchema" xmlns:p="http://schemas.microsoft.com/office/2006/metadata/properties" xmlns:ns3="ec3abf45-a832-46ac-ac3f-3ddac75b9aa9" xmlns:ns4="dc2b7d7a-6391-406e-b0dc-0a5e55565654" targetNamespace="http://schemas.microsoft.com/office/2006/metadata/properties" ma:root="true" ma:fieldsID="71a0a5f3f78e23c0b661df6b5e72e489" ns3:_="" ns4:_="">
    <xsd:import namespace="ec3abf45-a832-46ac-ac3f-3ddac75b9aa9"/>
    <xsd:import namespace="dc2b7d7a-6391-406e-b0dc-0a5e5556565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3abf45-a832-46ac-ac3f-3ddac75b9a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2b7d7a-6391-406e-b0dc-0a5e5556565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CA62B-EA55-4041-927D-4C76AF3F6D9A}">
  <ds:schemaRefs>
    <ds:schemaRef ds:uri="http://purl.org/dc/elements/1.1/"/>
    <ds:schemaRef ds:uri="http://schemas.microsoft.com/office/2006/metadata/properties"/>
    <ds:schemaRef ds:uri="ec3abf45-a832-46ac-ac3f-3ddac75b9aa9"/>
    <ds:schemaRef ds:uri="http://purl.org/dc/terms/"/>
    <ds:schemaRef ds:uri="http://schemas.openxmlformats.org/package/2006/metadata/core-properties"/>
    <ds:schemaRef ds:uri="http://purl.org/dc/dcmitype/"/>
    <ds:schemaRef ds:uri="http://schemas.microsoft.com/office/2006/documentManagement/types"/>
    <ds:schemaRef ds:uri="dc2b7d7a-6391-406e-b0dc-0a5e55565654"/>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3A7BE9C-F1C5-466E-B6D0-912A6ED97E43}">
  <ds:schemaRefs>
    <ds:schemaRef ds:uri="http://schemas.microsoft.com/sharepoint/v3/contenttype/forms"/>
  </ds:schemaRefs>
</ds:datastoreItem>
</file>

<file path=customXml/itemProps3.xml><?xml version="1.0" encoding="utf-8"?>
<ds:datastoreItem xmlns:ds="http://schemas.openxmlformats.org/officeDocument/2006/customXml" ds:itemID="{D1AE3A77-76FA-4130-9A18-2FD324DC3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3abf45-a832-46ac-ac3f-3ddac75b9aa9"/>
    <ds:schemaRef ds:uri="dc2b7d7a-6391-406e-b0dc-0a5e55565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90</vt:i4>
      </vt:variant>
    </vt:vector>
  </HeadingPairs>
  <TitlesOfParts>
    <vt:vector size="97" baseType="lpstr">
      <vt:lpstr>Introduction and outcomes</vt:lpstr>
      <vt:lpstr>Checklist</vt:lpstr>
      <vt:lpstr>Dashboard</vt:lpstr>
      <vt:lpstr>Optional - input raw data</vt:lpstr>
      <vt:lpstr>RAG rating data for your school</vt:lpstr>
      <vt:lpstr>RAG rating data for all schools</vt:lpstr>
      <vt:lpstr>Calcs</vt:lpstr>
      <vt:lpstr>A</vt:lpstr>
      <vt:lpstr>APL</vt:lpstr>
      <vt:lpstr>APNL</vt:lpstr>
      <vt:lpstr>ATL</vt:lpstr>
      <vt:lpstr>ATNL</vt:lpstr>
      <vt:lpstr>Average</vt:lpstr>
      <vt:lpstr>B</vt:lpstr>
      <vt:lpstr>Below</vt:lpstr>
      <vt:lpstr>CC</vt:lpstr>
      <vt:lpstr>D</vt:lpstr>
      <vt:lpstr>E</vt:lpstr>
      <vt:lpstr>F</vt:lpstr>
      <vt:lpstr>G</vt:lpstr>
      <vt:lpstr>Good</vt:lpstr>
      <vt:lpstr>H</vt:lpstr>
      <vt:lpstr>High</vt:lpstr>
      <vt:lpstr>Higher</vt:lpstr>
      <vt:lpstr>Highest10</vt:lpstr>
      <vt:lpstr>Highest20</vt:lpstr>
      <vt:lpstr>I</vt:lpstr>
      <vt:lpstr>Inadequate</vt:lpstr>
      <vt:lpstr>Inline</vt:lpstr>
      <vt:lpstr>Inline2</vt:lpstr>
      <vt:lpstr>J</vt:lpstr>
      <vt:lpstr>K</vt:lpstr>
      <vt:lpstr>L</vt:lpstr>
      <vt:lpstr>Low</vt:lpstr>
      <vt:lpstr>Lower</vt:lpstr>
      <vt:lpstr>Lowest10</vt:lpstr>
      <vt:lpstr>Lowest20</vt:lpstr>
      <vt:lpstr>M</vt:lpstr>
      <vt:lpstr>Medium</vt:lpstr>
      <vt:lpstr>Middle20</vt:lpstr>
      <vt:lpstr>Muchhigher</vt:lpstr>
      <vt:lpstr>Muchlower</vt:lpstr>
      <vt:lpstr>N</vt:lpstr>
      <vt:lpstr>NL</vt:lpstr>
      <vt:lpstr>NNL</vt:lpstr>
      <vt:lpstr>O</vt:lpstr>
      <vt:lpstr>Outstanding</vt:lpstr>
      <vt:lpstr>P</vt:lpstr>
      <vt:lpstr>PL</vt:lpstr>
      <vt:lpstr>PLH</vt:lpstr>
      <vt:lpstr>PLL</vt:lpstr>
      <vt:lpstr>PLM</vt:lpstr>
      <vt:lpstr>PMH</vt:lpstr>
      <vt:lpstr>PML</vt:lpstr>
      <vt:lpstr>PMM</vt:lpstr>
      <vt:lpstr>PNL</vt:lpstr>
      <vt:lpstr>Checklist!Print_Area</vt:lpstr>
      <vt:lpstr>Dashboard!Print_Area</vt:lpstr>
      <vt:lpstr>'Introduction and outcomes'!Print_Area</vt:lpstr>
      <vt:lpstr>'Optional - input raw data'!Print_Area</vt:lpstr>
      <vt:lpstr>PSH</vt:lpstr>
      <vt:lpstr>PSL</vt:lpstr>
      <vt:lpstr>PSM</vt:lpstr>
      <vt:lpstr>PVSH</vt:lpstr>
      <vt:lpstr>PVSL</vt:lpstr>
      <vt:lpstr>PVSM</vt:lpstr>
      <vt:lpstr>Q</vt:lpstr>
      <vt:lpstr>RI</vt:lpstr>
      <vt:lpstr>RR</vt:lpstr>
      <vt:lpstr>S</vt:lpstr>
      <vt:lpstr>SL</vt:lpstr>
      <vt:lpstr>SLH</vt:lpstr>
      <vt:lpstr>SLL</vt:lpstr>
      <vt:lpstr>SLM</vt:lpstr>
      <vt:lpstr>SMH</vt:lpstr>
      <vt:lpstr>SML</vt:lpstr>
      <vt:lpstr>SMM</vt:lpstr>
      <vt:lpstr>SNL</vt:lpstr>
      <vt:lpstr>SPL</vt:lpstr>
      <vt:lpstr>SPNL</vt:lpstr>
      <vt:lpstr>SSH</vt:lpstr>
      <vt:lpstr>SSL</vt:lpstr>
      <vt:lpstr>SSLH</vt:lpstr>
      <vt:lpstr>SSLL</vt:lpstr>
      <vt:lpstr>SSLM</vt:lpstr>
      <vt:lpstr>SSLo</vt:lpstr>
      <vt:lpstr>SSM</vt:lpstr>
      <vt:lpstr>SSMH</vt:lpstr>
      <vt:lpstr>SSML</vt:lpstr>
      <vt:lpstr>SSMM</vt:lpstr>
      <vt:lpstr>SSNL</vt:lpstr>
      <vt:lpstr>SSSH</vt:lpstr>
      <vt:lpstr>SSSL</vt:lpstr>
      <vt:lpstr>SSSM</vt:lpstr>
      <vt:lpstr>T</vt:lpstr>
      <vt:lpstr>Wellabove</vt:lpstr>
      <vt:lpstr>Wellbelow</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NUNN, Emily</dc:creator>
  <cp:lastModifiedBy>S.Roberts</cp:lastModifiedBy>
  <cp:lastPrinted>2019-11-06T14:13:59Z</cp:lastPrinted>
  <dcterms:created xsi:type="dcterms:W3CDTF">2017-10-02T14:43:37Z</dcterms:created>
  <dcterms:modified xsi:type="dcterms:W3CDTF">2019-11-07T09:06:52Z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0x010100E5203167790BB6488A0556DFCA30F306</vt:lpwstr>
  </property>
</Properties>
</file>